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5"/>
  </bookViews>
  <sheets>
    <sheet name="ТМ-32 от ТК-327.15 до ТК-327,92" sheetId="1" state="hidden" r:id="rId1"/>
    <sheet name="Снять 600 к" sheetId="2" state="hidden" r:id="rId2"/>
    <sheet name="Снять 140 тыс" sheetId="3" state="hidden" r:id="rId3"/>
    <sheet name="Исходнник" sheetId="4" state="hidden" r:id="rId4"/>
    <sheet name="ВОР ТМ-32 Блок 327 (2)" sheetId="5" state="hidden" r:id="rId5"/>
    <sheet name="На торги" sheetId="6" state="visible" r:id="rId6"/>
  </sheets>
  <definedNames>
    <definedName name="Constr" localSheetId="0">'ТМ-32 от ТК-327.15 до ТК-327,92'!#REF!</definedName>
    <definedName name="FOT" localSheetId="0">'ТМ-32 от ТК-327.15 до ТК-327,92'!#REF!</definedName>
    <definedName name="Ind" localSheetId="0">'ТМ-32 от ТК-327.15 до ТК-327,92'!#REF!</definedName>
    <definedName name="Obj" localSheetId="0">'ТМ-32 от ТК-327.15 до ТК-327,92'!#REF!</definedName>
    <definedName name="Obosn" localSheetId="0">'ТМ-32 от ТК-327.15 до ТК-327,92'!#REF!</definedName>
    <definedName name="SmPr" localSheetId="0">'ТМ-32 от ТК-327.15 до ТК-327,92'!#REF!</definedName>
    <definedName name="_xlnm.Print_Area" localSheetId="0">'ТМ-32 от ТК-327.15 до ТК-327,92'!$A$1:$E$121</definedName>
    <definedName name="Constr" localSheetId="1">'ТМ-32 от ТК-327.15 до ТК-327,92'!#REF!</definedName>
    <definedName name="FOT" localSheetId="1">'ТМ-32 от ТК-327.15 до ТК-327,92'!#REF!</definedName>
    <definedName name="Ind" localSheetId="1">'ТМ-32 от ТК-327.15 до ТК-327,92'!#REF!</definedName>
    <definedName name="Obj" localSheetId="1">'ТМ-32 от ТК-327.15 до ТК-327,92'!#REF!</definedName>
    <definedName name="Obosn" localSheetId="1">'ТМ-32 от ТК-327.15 до ТК-327,92'!#REF!</definedName>
    <definedName name="SmPr" localSheetId="1">'ТМ-32 от ТК-327.15 до ТК-327,92'!#REF!</definedName>
    <definedName name="_xlnm.Print_Area" localSheetId="1">'Снять 600 к'!$A$1:$E$120</definedName>
    <definedName name="Constr" localSheetId="2">'ТМ-32 от ТК-327.15 до ТК-327,92'!#REF!</definedName>
    <definedName name="FOT" localSheetId="2">'ТМ-32 от ТК-327.15 до ТК-327,92'!#REF!</definedName>
    <definedName name="Ind" localSheetId="2">'ТМ-32 от ТК-327.15 до ТК-327,92'!#REF!</definedName>
    <definedName name="Obj" localSheetId="2">'ТМ-32 от ТК-327.15 до ТК-327,92'!#REF!</definedName>
    <definedName name="Obosn" localSheetId="2">'ТМ-32 от ТК-327.15 до ТК-327,92'!#REF!</definedName>
    <definedName name="Print_Area" localSheetId="2">'Снять 140 тыс'!$A$1:$E$120</definedName>
    <definedName name="SmPr" localSheetId="2">'ТМ-32 от ТК-327.15 до ТК-327,92'!#REF!</definedName>
    <definedName name="Constr" localSheetId="3">'ТМ-32 от ТК-327.15 до ТК-327,92'!#REF!</definedName>
    <definedName name="FOT" localSheetId="3">'ТМ-32 от ТК-327.15 до ТК-327,92'!#REF!</definedName>
    <definedName name="Ind" localSheetId="3">'ТМ-32 от ТК-327.15 до ТК-327,92'!#REF!</definedName>
    <definedName name="Obj" localSheetId="3">'ТМ-32 от ТК-327.15 до ТК-327,92'!#REF!</definedName>
    <definedName name="Obosn" localSheetId="3">'ТМ-32 от ТК-327.15 до ТК-327,92'!#REF!</definedName>
    <definedName name="SmPr" localSheetId="3">'ТМ-32 от ТК-327.15 до ТК-327,92'!#REF!</definedName>
    <definedName name="_xlnm.Print_Area" localSheetId="3">Исходнник!$A$1:$E$123</definedName>
    <definedName name="Constr" localSheetId="4">'ТМ-32 от ТК-327.15 до ТК-327,92'!#REF!</definedName>
    <definedName name="FOT" localSheetId="4">'ТМ-32 от ТК-327.15 до ТК-327,92'!#REF!</definedName>
    <definedName name="Ind" localSheetId="4">'ТМ-32 от ТК-327.15 до ТК-327,92'!#REF!</definedName>
    <definedName name="Obj" localSheetId="4">'ТМ-32 от ТК-327.15 до ТК-327,92'!#REF!</definedName>
    <definedName name="Obosn" localSheetId="4">'ТМ-32 от ТК-327.15 до ТК-327,92'!#REF!</definedName>
    <definedName name="SmPr" localSheetId="4">'ТМ-32 от ТК-327.15 до ТК-327,92'!#REF!</definedName>
    <definedName name="_xlnm.Print_Area" localSheetId="4">'ВОР ТМ-32 Блок 327 (2)'!$A$1:$E$126</definedName>
    <definedName name="Constr" localSheetId="5">'ТМ-32 от ТК-327.15 до ТК-327,92'!#REF!</definedName>
    <definedName name="FOT" localSheetId="5">'ТМ-32 от ТК-327.15 до ТК-327,92'!#REF!</definedName>
    <definedName name="Ind" localSheetId="5">'ТМ-32 от ТК-327.15 до ТК-327,92'!#REF!</definedName>
    <definedName name="Obj" localSheetId="5">'ТМ-32 от ТК-327.15 до ТК-327,92'!#REF!</definedName>
    <definedName name="Obosn" localSheetId="5">'ТМ-32 от ТК-327.15 до ТК-327,92'!#REF!</definedName>
    <definedName name="Print_Area" localSheetId="5">'На торги'!$A$1:$E$121</definedName>
    <definedName name="SmPr" localSheetId="5">'ТМ-32 от ТК-327.15 до ТК-327,92'!#REF!</definedName>
    <definedName name="высота_внеш_лотка">#NAME?</definedName>
    <definedName name="высота_плиты">#NAME?</definedName>
    <definedName name="наименование_лотка">#NAME?</definedName>
    <definedName name="наименование_плиты">#NAME?</definedName>
    <definedName name="ширина_внеш_лотка">#NAME?</definedName>
    <definedName name="ширина_плиты">#NAME?</definedName>
  </definedNames>
  <calcPr/>
</workbook>
</file>

<file path=xl/sharedStrings.xml><?xml version="1.0" encoding="utf-8"?>
<sst xmlns="http://schemas.openxmlformats.org/spreadsheetml/2006/main" count="274" uniqueCount="274">
  <si>
    <t>УТВЕРЖДАЮ:</t>
  </si>
  <si>
    <t xml:space="preserve">Директор СП "ХТС"</t>
  </si>
  <si>
    <t xml:space="preserve">____________ Аронович В.М.</t>
  </si>
  <si>
    <t xml:space="preserve"> "____" ______________2025 г.</t>
  </si>
  <si>
    <t xml:space="preserve">ВЕДОМОСТЬ ОБЪЕМОВ РАБОТ</t>
  </si>
  <si>
    <t xml:space="preserve">ТМ-32 от ТК 327.15 до ТК 327.15Б, L= 74м.п.х2, Ду=1000мм</t>
  </si>
  <si>
    <t xml:space="preserve">№ пп</t>
  </si>
  <si>
    <t>Наименование</t>
  </si>
  <si>
    <t xml:space="preserve">Ед. изм.</t>
  </si>
  <si>
    <t>Кол.</t>
  </si>
  <si>
    <t>Примечание</t>
  </si>
  <si>
    <t xml:space="preserve">Раздел 2. Земляные работы</t>
  </si>
  <si>
    <t>327.15</t>
  </si>
  <si>
    <t>327.15а</t>
  </si>
  <si>
    <t>327.15б</t>
  </si>
  <si>
    <t>траншея</t>
  </si>
  <si>
    <t>ТК-327.15</t>
  </si>
  <si>
    <t>ТК-327.15А</t>
  </si>
  <si>
    <t xml:space="preserve">Разработка грунта с погрузкой на автомобили-самосвалы в траншеях экскаватором «обратная лопата» с ковшом вместимостью 0,65 (0,5-1) м3, группа грунтов: 3</t>
  </si>
  <si>
    <t>м3</t>
  </si>
  <si>
    <t xml:space="preserve">Траншея:
((((5,7м+8,3м)/2)*2,6м)*26м-(1,48м*2*1,4м*26м)*0,97)
Котлован под ТК-327.15
((5,25м/6*(((2*18,3м+10,4м)*17,1м)+((2*10,4м+18,3м)*9,2м)))-(4,5м*3м*3м))*0,97
Котлован под ТК-327.15А
((3,4м/6*(((2*12,9м+7,8м)*12,9м)+((2*7,8м+12,9м)*7,8м)))-(5,06м*3,8м*3м))*0,97</t>
  </si>
  <si>
    <t xml:space="preserve">a=4,5м
в=3м
н=3м
размеры фактические по верху</t>
  </si>
  <si>
    <t xml:space="preserve">a=5,06м
в=3,8м
н=3м
размеры фактические по верху</t>
  </si>
  <si>
    <t xml:space="preserve">a=3,5м
в=3,4м
н=2,6м
размеры фактические по верху</t>
  </si>
  <si>
    <t xml:space="preserve">Разработка грунта вручную в траншеях глубиной 3,2 м без креплений с откосами, группа грунтов: 3 (доработка)</t>
  </si>
  <si>
    <t xml:space="preserve">Траншея:
((((5,7м+8,3м)/2)*2,6м)*30м-(1,48м*2*1,4м*30м)*0,03)
Котлован под ТК-327.15А
((3,4м/6*(((2*12,9м+7,8м)*12,9м)+((2*7,8м+12,9м)*7,8м)))-(5,06м*3,8м*3м))*0,03</t>
  </si>
  <si>
    <t xml:space="preserve">Разработка грунта вручную в траншеях глубиной до 2 м без креплений с откосами, группа грунтов: 3 (вблизи камер)</t>
  </si>
  <si>
    <t xml:space="preserve">Котлован под ТК-327.15
((5,25м/6*(((2*18,3м+10,4м)*17,1м)+((2*10,4м+18,3м)*9,2м)))-(4,5м*3м*3м))*0,03</t>
  </si>
  <si>
    <t xml:space="preserve">Крепление досками стенок котлованов и траншей шириной: более 3 м, глубиной до 3 м в грунтах неустойчивых</t>
  </si>
  <si>
    <t>м2</t>
  </si>
  <si>
    <t xml:space="preserve">Погрузо-разгрузочные работы при автомобильных перевозках: Погрузка грунта растительного слоя п35г</t>
  </si>
  <si>
    <t>тн</t>
  </si>
  <si>
    <t>(49,7м3)*1,95тн</t>
  </si>
  <si>
    <t xml:space="preserve">Очистка непроходных каналов: от мокрого ила и грязи при снятых трубах, глубина очистки до 2 м</t>
  </si>
  <si>
    <t>((1,28м*2)*0,2м)*24шт</t>
  </si>
  <si>
    <t xml:space="preserve">Погрузо-разгрузочные работы при автомобильных перевозках: Погрузка глины п35г</t>
  </si>
  <si>
    <t>(((1,28м*2)*0,2м)*24шт)*1,95тн</t>
  </si>
  <si>
    <t xml:space="preserve">Перевозка грузов автомобилями-самосвалами грузоподъемностью 10 т работающих вне карьера на расстояние: I класс груза до 15 км</t>
  </si>
  <si>
    <t>(1607,1м3+49,7м3+12,3м3)*1,95тн</t>
  </si>
  <si>
    <t xml:space="preserve">Работа на отвале, группа грунтов: 2-3</t>
  </si>
  <si>
    <t>1607,1м3+49,7м3+12,3м3</t>
  </si>
  <si>
    <t xml:space="preserve">Откачка воды насосами мощностью 2,8 кВт</t>
  </si>
  <si>
    <t>маш.-ч</t>
  </si>
  <si>
    <t>(1607,1м3+49,7м3+12,3м3)*2/50</t>
  </si>
  <si>
    <t xml:space="preserve">Раздел 3. Демонтажные работы</t>
  </si>
  <si>
    <t xml:space="preserve">Камеры ТК-327.15, ТК-327.15А</t>
  </si>
  <si>
    <t xml:space="preserve">Устройство камер со стенками: из монолитного бетона тяжелого, класса: В20 (М250) W6 по ГОСТ 26633-2015 (Демонтаж) ГИДРОМОЛОТОМ</t>
  </si>
  <si>
    <t xml:space="preserve">ТК-327.15 - 29,01м3
ТК-327.15А - 18.66м3
ТК-327.15
ПТ 42.15-8АIII-ЛК - 2шт (1,2м3;  3,0тн) Плиты сидят в демонтаж трассы
ТК-327.15А
ПТ 54.15-8АIII-ЛК - 2шт (1,59м3;  3,975тн) Плиты сидят в демонтаж трассы
ПТ 54.12 - 1шт (1,4м3;  3,5тн) Плиты сидят в демонтаж трассы</t>
  </si>
  <si>
    <t xml:space="preserve">Демонтаж  балки </t>
  </si>
  <si>
    <t>шт</t>
  </si>
  <si>
    <t xml:space="preserve">Балка Б7 - 1 шт (0,71м3; 1,77тн)</t>
  </si>
  <si>
    <t xml:space="preserve">Демонтаж лестниц прямолинейных и криволинейных, пожарных с ограждением Л8</t>
  </si>
  <si>
    <t xml:space="preserve">ТК-327.15
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
ТК-327.15А
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</t>
  </si>
  <si>
    <t>Трасса</t>
  </si>
  <si>
    <t xml:space="preserve">Демонтаж непроходных каналов: двухъячейковых, собираемых из верхних и нижних лотковых элементов (нижний ряд Л11-8 - 24шт/0,99м3; верхний ряд Л11-8 - 24шт/0,72м3;
опорные подушки ОП-7 - 10шт/0,09м3)</t>
  </si>
  <si>
    <t xml:space="preserve">Лоток Л11-8 (1,8тн; 0,72 м3) - 24шт 
Опорная подушка ОП-7 (0,23тн; 0,09м3) - 10шт</t>
  </si>
  <si>
    <t xml:space="preserve">Демонтаж трубопроводов в непроходном канале краном диаметром труб: 800 мм</t>
  </si>
  <si>
    <t>м</t>
  </si>
  <si>
    <t xml:space="preserve">Трубопроводы
Дн=820х5мм - 78,55м*0,101тн
Отводы 90гр.
Дн=820х6мм - 4шт*0,231тн
Воздушники
Трубопроводы
Дн=57х3мм - 0,00755тн*4м
Кран шаровый
Ду=57мм - 2шт*0,3м</t>
  </si>
  <si>
    <t xml:space="preserve">Разборка тепловой изоляции из: ваты минеральной</t>
  </si>
  <si>
    <t xml:space="preserve">м2 наружной площади</t>
  </si>
  <si>
    <t xml:space="preserve">Демонтаж опорных конструкций: для крепления трубопроводов внутри зданий и сооружений массой до 0,1 т (скользячки, упоры) не учтен.ГЭСН СО ТС -624.000-057, НО ТС-667.00.00-06 с применением газорезки (кислород газообразный по ГОСТ 5583-78 и пропан-бутановая смесь по ГОСТ Р 52087-2018</t>
  </si>
  <si>
    <t xml:space="preserve">Скользящие опоры
ТС-624.000-057 - 10шт*0,04тн/2
ТК-327.15
ТС 667.00.00-04
Опора неподвижная Ду 800 - 4 шт (0,1428/2тн)</t>
  </si>
  <si>
    <t xml:space="preserve">Демонтаж трубопроводов в непроходных каналах краном диаметром труб: 108 мм (из них труба - 4м., отводы - 2шт. краны - 2шт.) </t>
  </si>
  <si>
    <t xml:space="preserve">В ТК-327.15А (врезка на дренаж)
Труба  Д100 - 12 м; 0,01тн
Отводы Д100  - 2шт * L-0,234м; 0,003тн 
кран шаровый Ду100 (0,0083тн/2*2=166 кг), L-0,325м;</t>
  </si>
  <si>
    <t xml:space="preserve">Кислород газообразный технический</t>
  </si>
  <si>
    <t xml:space="preserve">Пропан-бутан смесь техническая</t>
  </si>
  <si>
    <t>кг</t>
  </si>
  <si>
    <t xml:space="preserve">Раздел 4. Погрузо-разгрузочные работы</t>
  </si>
  <si>
    <t xml:space="preserve">Погрузо-разгрузочные работы при автомобильных перевозках: Погрузка труб металлических с применением автомобильных кранов (трубы б/у)</t>
  </si>
  <si>
    <t xml:space="preserve">1 т груза</t>
  </si>
  <si>
    <t xml:space="preserve">Трубопроводы
Дн=820х5мм - 0,101тн*78,55м
Дн=108х4мм - 0,01тн*12м</t>
  </si>
  <si>
    <t xml:space="preserve">Перевозка длинномерных грузов трубоплетевозом грузоподъемностью 12 т на расстояние: I класс груза до 10 км (трубы б/у) на склад СП "ХТС со строительной площадки</t>
  </si>
  <si>
    <t xml:space="preserve">Погрузо-разгрузочные работы при автомобильных перевозках: Разгрузка труб металлических с применением автомобильных кранов (трубы б/у)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</si>
  <si>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от 3 до 6 т (ж/б б/у)</t>
  </si>
  <si>
    <t xml:space="preserve">Лоток Л11-8 (1,8тн; 0,72 м3) - 48 шт
Опорная подушка ОП-7 (0,23тн; 0,09 м3) - 10шт
Балка Б7 - 1 шт (0,71м3, 1,77тн)
Плиты
ПТ 42.15-8АIII-ЛК - 2шт (1,2м3;  3,0тн)
ПТ 54.15-8АIII-ЛК - 2шт (1,59м3;  3,975тн)
ПТ 54.12 - 1шт (1,4м3;  3,5тн)</t>
  </si>
  <si>
    <t xml:space="preserve">Перевозка грузов автомобилями бортовыми грузоподъемностью до 15 т на расстояние: I класс груза до 60 км (ж/б б/у)</t>
  </si>
  <si>
    <t xml:space="preserve">Погрузка в автотранспортное средство: мусор строительный с погрузкой экскаваторами емкостью ковша до 0,5 м3</t>
  </si>
  <si>
    <t xml:space="preserve">ТК-327.15
ТК-327.15А</t>
  </si>
  <si>
    <t xml:space="preserve">Перевозка грузов I класса автомобилями-самосвалами грузоподъемностью до 15т по дорогам усовершенствованным (асфальтобетонным, цементобетонным, железобетонным, обработанным ограническим вяжущим) дорожным покрытием на расстояние 60 км на полигоне в р-не им. Лазо</t>
  </si>
  <si>
    <t xml:space="preserve">Погрузо-разгрузочные работы при автомобильных перевозках: Погрузка мусора строительного с погрузкой вручную  (изоляция б/у)</t>
  </si>
  <si>
    <t xml:space="preserve">Перевозка грузов автомобилями-самосвалами грузоподъемностью 10 т работающих вне карьера на расстояние: IV класс груза до 60 км на полигон ТБО в районе им. Лазо со строительной площадки</t>
  </si>
  <si>
    <t xml:space="preserve">Захоронение твердых бытовых отходов на полигоне в р-не им.Лазо  (ж/б+изоляция)</t>
  </si>
  <si>
    <t xml:space="preserve">Погрузо-разгрузочные работы при автомобильных перевозках: Погрузка стальных профилей мелких (остальные виды стали, не указанные в расценке -027) (Опоры, м/к, заглушки б/у)</t>
  </si>
  <si>
    <t xml:space="preserve">Скользящие опоры ТС-624.000-057 10шт*0,069тн/2
Заглушки ТС-596.000-13
Ду=800мм - 0,249тн*4шт
Опора неподвижная ТС-664.00-04
НО Ду 800 - 4 шт *0,1428тн/2</t>
  </si>
  <si>
    <t xml:space="preserve">Погрузо-разгрузочные работы при автомобильных перевозках: Разгрузка стальных профилей мелких (остальные виды стали, не указанные в расценке -027) (Опоры, м/к б/у)</t>
  </si>
  <si>
    <t xml:space="preserve">Погрузо-разгрузочные работы при автомобильных перевозках: Погрузка стальных профилей крупных (балки, сваи, квадратная сечением более 40x40 мм, круглая диаметром более 40 мм, толстолистовая, тюбинги, швеллеры, шпунт металлический и т.п.)Отводы, задвижки, сальниковые компенсаторы б/у</t>
  </si>
  <si>
    <t xml:space="preserve">Отводы 90гр.
Дн=820х6мм - 4шт*0,231тн
Дн=108х5мм - 2шт*0,003тн
Краны
Ду100 - 2шт*0,0083/2=83 кг</t>
  </si>
  <si>
    <t xml:space="preserve">Погрузо-разгрузочные работы при автомобильных перевозках: Разгрузка стальных профилей крупных (балки, сваи, квадратная сечением более 40x40 мм, круглая диаметром более 40 мм, толстолистовая, тюбинги, швеллеры, шпунт металлический и т.п.)Отводы, задвижки, сальниковые компенсаторы б/у</t>
  </si>
  <si>
    <t xml:space="preserve">Перевозка грузов автомобилями бортовыми грузоподъемностью до 5 т на расстояние: I класс груза до 10 км. Отводы, заглушки, опоры м/к б/у на склад СП "ХТС со строительной площадки</t>
  </si>
  <si>
    <t xml:space="preserve">Скользящие опоры ТС-624.000-057 10шт*0,069тн/2
Заглушки ТС-596.000-13
Ду=800мм - 0,249тн*4шт
Опора неподвижная ТС-664.00-04
НО Ду 800 - 4 шт *0,14тн/2
Отводы 90гр.
Дн=820х6мм - 4шт*0,231тн
Дн=108х5мм - 2шт*0,003тн
Краны
Ду100 - 2шт*0,0083/2=83 кг</t>
  </si>
  <si>
    <t xml:space="preserve">Погрузо-разгрузочные работы при автомобильных перевозках: Погрузка стальных профилей крупных (балки, сваи, квадратная сечением более 40x40 мм, круглая диаметром более 40 мм, толстолистовая, тюбинги, швеллеры, шпунт металлический и т.п.)Отводы новые</t>
  </si>
  <si>
    <t xml:space="preserve">Отводы 90гр.
Дн=1020х14мм - 4шт*0,863тн
Дн=325х10мм - 2шт*0,0777тн
Задвижки
Ду300 - 2шт*0,355=82 кг
Переходы Дн1020х14  х 820х11 ТС-596-20
Дн=1020х14  х 820х11 - 4 шт (0,475м;0,1566тн)
Лист стальной 5,4мх5,4м толщиной 5мм - 1,114тн</t>
  </si>
  <si>
    <t xml:space="preserve">Перевозка грузов автомобилями бортовыми грузоподъемностью до 5 т на расстояние: I класс груза до 10 км. Отводы, заглушки, опоры м/к, лестницы со склада СП "ХТС" на строительную площадку</t>
  </si>
  <si>
    <t xml:space="preserve">Отводы 90гр.
Дн=1020х14мм - 4шт*0,863тн
Дн=325х10мм - 2шт*0,006тн
Задвижки
Ду300 - 2шт*0,355=82 кг
Переходы Дн1020х14  х 820х11 ТС-596-20
Дн=1020х14  х 820х11 - 4 шт (0,475м;0,1566тн)
Лист стальной 5,4мх5,4м толщиной 5мм - 1,114тн</t>
  </si>
  <si>
    <t xml:space="preserve">Погрузо-разгрузочные работы при автомобильных перевозках: Погрузка труб металлических с применением автомобильных кранов (трубы новые)</t>
  </si>
  <si>
    <t xml:space="preserve">Трубопроводы
Дн=1020х12мм - 0,301тн*75,95м
Дн=325х10мм - 0,0777тн*12м</t>
  </si>
  <si>
    <t xml:space="preserve">Перевозка длинномерных грузов трубоплетевозом грузоподъемностью 12 т на расстояние: I класс груза до 10 км  (трубы новые) со склада СП "ХТС" на строительную площадку</t>
  </si>
  <si>
    <t xml:space="preserve">Погрузо-разгрузочные работы при автомобильных перевозках: Погрузка изделий из сборного железобетона, бетона, керамзитобетона массой от 3 до 6 т (ж/б новый)</t>
  </si>
  <si>
    <t xml:space="preserve">Плиты ПТ 63.15-8 ЛК - 1шт (4,725тн; 1,89м3)
Плиты ПТ 63.07 - 1шт (2,38тн; 0,95м3)
Лотки Л15-11 - 24шт (2,48тн; 0,99м3)
Лотки Л17-11 - 24шт (3,75тн; 1,5м3)
опорные подушки ОП-8 - 10шт (0,65тн; 0,26м3)</t>
  </si>
  <si>
    <t xml:space="preserve">Перевозка грузов автомобилями бортовыми грузоподъемностью до 15 т на расстояние: I класс груза до 10 км (ж/б новый)</t>
  </si>
  <si>
    <t xml:space="preserve">Раздел 5. Строительные конструкции</t>
  </si>
  <si>
    <t xml:space="preserve">Устройство основания под трубопроводы: песчаного</t>
  </si>
  <si>
    <t xml:space="preserve">м3 основания</t>
  </si>
  <si>
    <t>(3,68м+0,2м)*0,1м*27м</t>
  </si>
  <si>
    <t xml:space="preserve">Устройство непроходных каналов: двухъячейковых, собираемых из верхних и нижних лотковых элементов (Л15-11, Л17-11, ОП-8 по серии 3.006.1-2.87)</t>
  </si>
  <si>
    <t xml:space="preserve">м3 сборных конструкций</t>
  </si>
  <si>
    <t xml:space="preserve">низ Л15-11 - (22шт новых); (Давальческий материал)
верх Л17-11 - (22шт новых); (Давальческий материал)
опорные подушки ОП-8 - (8шт новых)</t>
  </si>
  <si>
    <t xml:space="preserve">Раствор готовый кладочный цементный марки: 100</t>
  </si>
  <si>
    <t xml:space="preserve">Швеллеры: № 12 сталь марки Ст3пс (фиксаторы МС-1)</t>
  </si>
  <si>
    <t>т</t>
  </si>
  <si>
    <t xml:space="preserve">Оклейка швов канала стекломастом ТКП-4.0 по ТУ 21-5744710-515-92</t>
  </si>
  <si>
    <t xml:space="preserve">м2 изолируемой поверхности</t>
  </si>
  <si>
    <t xml:space="preserve">Устройство основания песком строительным по ГОСТ 8736-93 </t>
  </si>
  <si>
    <t xml:space="preserve">Устройство подстилающих слоев из бетона тяжелого, класса: В7,5 по ГОСТ 26633-2015</t>
  </si>
  <si>
    <t xml:space="preserve">Устройство камер со стенками: из монолитного бетона тяжелого, класса: В20 (М250) W6 по ГОСТ 26633-2015</t>
  </si>
  <si>
    <t xml:space="preserve">ТК-327.15 - 161,21м3
Сталь арматурная Ø8мм-АI по ГОСТ 5781-82 - 1,320тн
Сталь арматурная Ø18мм-АI по ГОСТ 5781-82 - 0,03тн
Сталь арматурная Ø12мм-АIII по ГОСТ 5781-82 - 2071,72тн
Сталь арматурная Ø16мм-АIII по ГОСТ 5781-82 - 0,04тн
Сталь арматурная Ø20мм-АIII по ГОСТ 5781-82 - 4,009тн
Сталь арматурная Ø25мм-АIII по ГОСТ 5781-82 - 4,108тн
Уголок 50х5 стальной - 0,06тн
Труба Дн=1120х12 - 2м*0,273тн (Закладные детали)
Труба Дн=219х6 - 2м*0,035тн (Закладные детали)
Плиты ПТ 63.15-8 ЛК - 1шт (4,725тн; 1,89м3)
Плиты ПТ 63.07 - 1шт (2,38тн; 0,95м3)
Люки тяжелые чугунные - 2шт.</t>
  </si>
  <si>
    <t xml:space="preserve">Изготовление стремянки Л8</t>
  </si>
  <si>
    <t xml:space="preserve">Сталь угловая: 75х75х6 мм - 0,042тн*2шт; Горячекатаная арматурная сталь гладкая класса А-I, диаметром: 18 мм - 0,011тн*2шт; Сталь листовая углеродистая обыкновенного качества марки ВСт3пс5 толщиной: 6 мм - 0,001тн*2шт
Вес наплавленного металла - 0,001тн*2шт</t>
  </si>
  <si>
    <t xml:space="preserve">Монтаж стремянки Л8</t>
  </si>
  <si>
    <t xml:space="preserve">Окраска металлических огрунтованных поверхностей: эмалью ПФ-115</t>
  </si>
  <si>
    <t xml:space="preserve">ТК-327.15А - 43,88м3
Сталь арматурная Ø8мм-АIII по ГОСТ 5781-82 - 0,299тн
Сталь арматурная Ø12мм-АIII по ГОСТ 5781-82 - 1,92тн
Плита 32.15-8АIII-ЛК - 2шт (0,57м3; 1,43тн)
Плита 32.15 - 2шт (0,96м3; 2,4тн)
Плита 32.12 - 2шт (0,77м3; 1,93тн)
Балка Б8 - 1 шт 0,65 м3; 1,63тн
Лист стальной 2,9х1,6м толщиной 5мм - 0,26тн ; 6,5м2
Уголок стальной 50х5 - 2,9м*4шт=11,6м2 ; 0,05тн
Люки тяжелые чугунные - 4шт.</t>
  </si>
  <si>
    <t xml:space="preserve">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</t>
  </si>
  <si>
    <t xml:space="preserve">Раздел 6. Трубопроводы</t>
  </si>
  <si>
    <t xml:space="preserve">Прокладка стальных трубопроводов в непроходном канале при номинальном давлении 1,6 МПа, температуре 150°С, диаметр труб: 1000мм без выполнения гидравлических испытаний (Материал Заказчика)</t>
  </si>
  <si>
    <t xml:space="preserve">Трубопроводы
Дн=1020х12мм - 75,95м*0,1тн (Давальческий материал)
Отводы 90гр.
Дн=1020х14мм - 4шт*2,12м (Давальческий материал)
Переходы Дн1020х14  х 820х11 ТС-596-20
Дн=1020х10  х 820х10 - 4 шт (0,475м;0,1566тн) (Давальческий материал)
Воздушники
Трубопроводы
Дн=57х6мм - 0,00755тн*4м
Кран шаровый
Ду=50мм - 2шт*0,3м</t>
  </si>
  <si>
    <t xml:space="preserve">Опоры скользящие и катковые, крепежные детали, хомуты</t>
  </si>
  <si>
    <t xml:space="preserve">Скользящие опоры ТС-624.000-057 - 10шт*0,069тн
Опора неподвижная Ду 1000 - 8шт (0,2622тн) ТС 667.00-06</t>
  </si>
  <si>
    <t xml:space="preserve">Установка фасонных частей стальных сварных диаметром: 800 мм (Материал Заказчика)</t>
  </si>
  <si>
    <t xml:space="preserve">т фасонных частей</t>
  </si>
  <si>
    <t xml:space="preserve">Заглушки
Ду=800мм - 0,249тн*4шт (Давальческий материал)</t>
  </si>
  <si>
    <t xml:space="preserve">Прокладка трубопроводов диаметр труб:300 мм</t>
  </si>
  <si>
    <t xml:space="preserve">В ТК-327.15А
Трубопроводы
Дн=325х10мм - 0,0777тн*12м
Отводы
 Дн=325х12  - 2шт*0,707м; 0,003тн </t>
  </si>
  <si>
    <t xml:space="preserve">Устройство задвижки Ду 300</t>
  </si>
  <si>
    <t xml:space="preserve">Задвижка клиновая
Ду300 - 2шт*0,5м=1,0м ; 0,355тн*2шт=0,71тн</t>
  </si>
  <si>
    <t xml:space="preserve">Устройство дренажной трубы Ду 300 Б/У</t>
  </si>
  <si>
    <t xml:space="preserve">Трубопроводы
Дн=325х5мм - 0,039тн*10м Б/У (Расценить только работу)</t>
  </si>
  <si>
    <t xml:space="preserve">Раздел 7. Монтажные работы</t>
  </si>
  <si>
    <t xml:space="preserve">Контроль качества сварных соединений труб ультразвуковым методом на трассе, условный диаметр: 1020 мм</t>
  </si>
  <si>
    <t xml:space="preserve">1 стык</t>
  </si>
  <si>
    <t xml:space="preserve">Контроль качества сварных соединений труб ультразвуковым методом на трассе, условный диаметр: 300 мм</t>
  </si>
  <si>
    <t xml:space="preserve">Присоединение к магистральному трубопроводу 2,5 МПа, 150°С, Ду 800</t>
  </si>
  <si>
    <t xml:space="preserve">Раздел 8. Теплоизоляция</t>
  </si>
  <si>
    <t xml:space="preserve">Трубопровод Дн=1020мм</t>
  </si>
  <si>
    <t xml:space="preserve">Обезжиривание поверхностей аппаратов и трубопроводов диаметром свыше 500 мм: бензином</t>
  </si>
  <si>
    <t xml:space="preserve">м2 обезжириваемой поверхности</t>
  </si>
  <si>
    <t xml:space="preserve">Окраска металлических огрунтованных поверхностей за 2 раза: мастикой КУРС-АНТИКОР. Мастика КУРС-АНТИКОР (1 слой) (антикоррозионный грунт цвет коричневый) ТУ 20.30.22-023-37491760-2021 расходом 190гр/м2. КУРС-ПРОТЕКТ (1 слой) (покрывная эмаль цвет серый) ТУ 20.30.22-024-37491760-2021 расходом 170гр/м2.</t>
  </si>
  <si>
    <t xml:space="preserve">м2 окрашиваемой поверхности</t>
  </si>
  <si>
    <t xml:space="preserve">Изоляция плоских и криволинейных поверхностей матами минераловатными прошивными безобкладочными и в обкладках, плитами минераловатными на синтетическом связующем, плитами из стеклянного штапельного волокна. Маты базальтовые теплоизоляционные прошивные энергетические Rockwool толщиной 100 мм. Проволока стальная низкоуглеродистая разного назначения оцинкованная, диаметр 2,2 мм</t>
  </si>
  <si>
    <t xml:space="preserve">м3 изоляции</t>
  </si>
  <si>
    <t xml:space="preserve">Установка пароизоляционного слоя из: пленки полиэтиленовой (без стекловолокнистых материалов). Рубероид кровельный РКП-350. Проволока стальная низкоуглеродистая разного назначения оцинкованная, диаметр 2,2 мм</t>
  </si>
  <si>
    <t xml:space="preserve">м2 поверхности покрытия изоляции</t>
  </si>
  <si>
    <t xml:space="preserve">Установка пароизоляционного слоя из: пленки полиэтиленовой (без стекловолокнистых материалов). Стеклопластик рулонный, теплоизоляционный, плотность 415г/м2, ширина 1м .</t>
  </si>
  <si>
    <t xml:space="preserve">Лента стальная упаковочная, мягкая, марка стали 08Ю, 08кп/пс, 10кп, прочая углеродистая качественная конструкционная сталь ГОСТ 1055, толщина 0,7-1,0 мм
Проволока стальная низкоуглеродистая разного назначения оцинкованная, диаметр 2,2 мм = 0,045 тн</t>
  </si>
  <si>
    <t xml:space="preserve">Проволока стальная низкоуглеродистая разного назначения оцинкованная, диаметр 2,2 мм</t>
  </si>
  <si>
    <t xml:space="preserve">Раздел 9. Благоустройство</t>
  </si>
  <si>
    <t xml:space="preserve">Земляные работы</t>
  </si>
  <si>
    <t xml:space="preserve">Засыпка траншей и котлованов с перемещением грунта до 5 м бульдозерами мощностью: 59 кВт (80 л.с.), группа грунтов 2</t>
  </si>
  <si>
    <t xml:space="preserve">м3 грунта</t>
  </si>
  <si>
    <t xml:space="preserve">Засыпка вручную траншей, пазух котлованов и ям, группа грунтов: 2</t>
  </si>
  <si>
    <t xml:space="preserve">Полив водой уплотняемого грунта насыпей</t>
  </si>
  <si>
    <t xml:space="preserve">Уплотнение грунта вибрационными катками 2,2 т на первый проход по одному следу при толщине слоя: 60 см</t>
  </si>
  <si>
    <t xml:space="preserve">Парковка, проезды</t>
  </si>
  <si>
    <t xml:space="preserve">Устройство подстилающих и выравнивающих слоев оснований: из щебня. Щебень М 800, фракция 20-40 мм, группа 2 по ГОСТ 8267-93</t>
  </si>
  <si>
    <t xml:space="preserve">м3 материала основания (в плотном теле)</t>
  </si>
  <si>
    <t xml:space="preserve">Устройство покрытия из горячих асфальтобетонных смесей асфальтоукладчиками: третьего типоразмера, ширина укладки до 6 м, толщина слоя 7 см. Смеси асфальтобетонные пористые крупнозернистые марка II по ГОСТ 9128-2013. Удельный вес - 0,1621тн</t>
  </si>
  <si>
    <t xml:space="preserve">м2 покрытия</t>
  </si>
  <si>
    <t xml:space="preserve">Нижний слой 7 см</t>
  </si>
  <si>
    <t xml:space="preserve">Устройство покрытия из горячих асфальтобетонных смесей асфальтоукладчиками: третьего типоразмера, ширина укладки до 6 м, толщина слоя 5 см. Смеси асфальтобетонные пористые крупнозернистые марка II по ГОСТ 9128-2013. Удельный вес - 0,1621тн</t>
  </si>
  <si>
    <t xml:space="preserve">Верхний слой 5 см</t>
  </si>
  <si>
    <t xml:space="preserve">Демонтаж плит дорожных </t>
  </si>
  <si>
    <t xml:space="preserve">Плита дорожная ПДН - 4,20тн; 1,68м3 (на 1 ед.) 6,72м3
Сталь арматурная Ø12мм-АIII по ГОСТ 5781-82 - 0,14тн (на 1 ед.)</t>
  </si>
  <si>
    <t xml:space="preserve">Устройство плит дорожных</t>
  </si>
  <si>
    <t xml:space="preserve">Демонтаж забора секционного металлического</t>
  </si>
  <si>
    <t xml:space="preserve">1 секция забора - 0,064тн - 4м (всего 7 секций)</t>
  </si>
  <si>
    <t xml:space="preserve">Устройство забора секционного металлического</t>
  </si>
  <si>
    <t xml:space="preserve">Сварной шов</t>
  </si>
  <si>
    <t>Озеленение</t>
  </si>
  <si>
    <t xml:space="preserve">Подготовка почвы для устройства партерного и обыкновенного газона с внесением растительной земли слоем 15 см: механизированным способом</t>
  </si>
  <si>
    <t xml:space="preserve">Посев газонов партерных, мавританских и обыкновенных вручную. Семена газонных трав (смесь)</t>
  </si>
  <si>
    <t xml:space="preserve"> В ЛСР применить коэффициенты: 
1. Коэффициент уплотнения смеси песчано-гравийной природной - 1,18;
2. Коэффициент уплотнения щебня - 1,26;
3. При составлении сметы из расценок по монтажу трубопроводов исключать давальческие механизмы - компрессоры, агрегаты опрессовочные, давальческие материалы - воду и известь хлорную, а также исключать трудозатраты, учитывающие гидравлическое испытание трубопроводов, выполняемые силами заказчика.
4. При составлении сметы учесть захоронение твердых бытовых отходов на полигоне в р-не им. Лазо  (ж/б+изоляция) в количестве 121,10 тн;
5. Сметная стоимость работ формируется базисно - индексным методом по сборникам ФЕР в ред. 2020 г. с изм. 1-9 с переводом в уровень цен на III кв. 2023 г. Письмо Минстроя России от 11.09.2023 г. №55664-ИФ/09.                                                                                                                                                                            
</t>
  </si>
  <si>
    <t xml:space="preserve">Приложение № 2 к Техническим требованиям</t>
  </si>
  <si>
    <t xml:space="preserve">_______________________ </t>
  </si>
  <si>
    <t xml:space="preserve"> "____" _________________20__ г.</t>
  </si>
  <si>
    <r>
      <rPr>
        <sz val="11"/>
        <color indexed="2"/>
        <rFont val="Times New Roman"/>
      </rPr>
      <t xml:space="preserve">ОКПД2 42.21.21.000</t>
    </r>
    <r>
      <rPr>
        <sz val="11"/>
        <rFont val="Times New Roman"/>
      </rPr>
      <t xml:space="preserve"> Выполнение работ по кТехперевооружению тепломагистрали ТМ-32 от ТК327.15 до ТК 327.15Б, Ду=1000мм L=74х2м.п., подземная в непроходном канале, для нужд Хабаровских тепловых сетей г. Хабаровск
Лот № 11026009-РЕМ ПРОД-2025-ДГК</t>
    </r>
  </si>
  <si>
    <t xml:space="preserve">Траншея:
((((4,7м+7,3м)/2)*2,6м)*26м-(1,48м*2*1,4м*26м)*0,97)
Котлован под ТК-327.15
((5,25м/6*(((2*18,3м+10,4м)*17,1м)+((2*10,4м+18,3м)*9,2м)))-(4,5м*3м*3м))*0,97
Котлован под ТК-327.15А
((3,4м/6*(((2*12,9м+7,8м)*12,9м)+((2*7,8м+12,9м)*7,8м)))-(5,06м*3,8м*3м))*0,97</t>
  </si>
  <si>
    <t xml:space="preserve">Траншея:
((((4,7м+7,3м)/2)*2,6м)*30м-(1,48м*2*1,4м*30м)*0,03)</t>
  </si>
  <si>
    <t xml:space="preserve">Котлован под ТК-327.15
((5,25м/6*(((2*18,3м+10,4м)*17,1м)+((2*10,4м+18,3м)*9,2м)))-(4,5м*3м*3м))*0,03
Котлован под ТК-327.15А
((3,4м/6*(((2*12,9м+7,8м)*12,9м)+((2*7,8м+12,9м)*7,8м)))-(5,06м*3,8м*3м))*0,03</t>
  </si>
  <si>
    <t xml:space="preserve">низ Л15-11 - (22шт новых); (Давальческий материал)
верх Л17-11 - (22шт новых); (Давальческий материал)
опорные подушки ОП-8 - (10шт новых)</t>
  </si>
  <si>
    <r>
      <rPr>
        <sz val="11"/>
        <color indexed="2"/>
        <rFont val="Times New Roman"/>
      </rPr>
      <t xml:space="preserve">ОКПД2 42.21.21.000</t>
    </r>
    <r>
      <rPr>
        <sz val="11"/>
        <rFont val="Times New Roman"/>
      </rPr>
      <t xml:space="preserve"> Выполнение работ по кТехперевооружению тепломагистрали ТМ-32 от ТК327.15А до ТК 327.15Б, Ду=1000мм L=86,3м.п., подземная в непроходном канале, для нужд Хабаровских тепловых сетей г. Хабаровск
Лот № 11026009-РЕМ ПРОД-2025-ДГК</t>
    </r>
  </si>
  <si>
    <t xml:space="preserve">Директор СП "Хабаровске тепловые сети"</t>
  </si>
  <si>
    <t xml:space="preserve">_____________________Аронович В.М.</t>
  </si>
  <si>
    <t xml:space="preserve">ОКПД2 42.21.21.000 Выполнение работ по Техперевооружению тепломагистрали ТМ-32 от ТК327.15 до ТК 327.15Б, Ду=1000мм L=74х2м.п., подземная в непроходном канале, для нужд Хабаровских тепловых сетей г. Хабаровск
Лот № 22126006-ТПИР ОБСЛ-2026-ДГК-ХТС</t>
  </si>
  <si>
    <t xml:space="preserve">Траншея:
((((((4,7м+7,3м)/2)*2,6м)*26м)-(1,48м*2*1,4м*26м))*0,97)+
(((5,25м/6*(((2*17,3м+9,4м)*16,1м)+((2*9,4м+17,3м)*8,2м)))-(4,5м*3м*3м))*0,97)+(((3,4м/6*(((2*11,9м+6,8м)*11,9м)+((2*6,8м+11,9м)*6,8м)))-(5,06м*3,8м*3м))*0,97)</t>
  </si>
  <si>
    <t xml:space="preserve">Траншея:
((((4,7м+7,3м)/2)*2,6м)*26м-(1,48м*2*1,4м*26м)*0,03)</t>
  </si>
  <si>
    <t xml:space="preserve">Траншея под ТК-327.15
((5,25м/6*(((2*17,3м+9,4м)*16,1м)+((2*9,4м+17,3м)*8,2м)))-(4,5м*3м*3м))*0,03
Траншея под ТК-327.15А
((3,4м/6*(((2*11,9м+6,8м)*11,9м)+((2*6,8м+11,9м)*6,8м)))-(5,06м*3,8м*3м))*0,03</t>
  </si>
  <si>
    <t>((17,3м+9,4м)/2*5,25м*2)+((16,1м+8,2м)/2*5,25м*2)</t>
  </si>
  <si>
    <t>(41,49м3)*1,95тн</t>
  </si>
  <si>
    <t>(1341,65м3+8,94м3+32,56м3)*1,95тн</t>
  </si>
  <si>
    <t>1341,65м3+8,94м3+32,56м3+12,29м3</t>
  </si>
  <si>
    <t>(1341,65м3+8,94м3+32,56м3+12,29м3)*2/50</t>
  </si>
  <si>
    <t xml:space="preserve">ТК-327.15 - 29,01м3
ТК-327.15А - 28,14м3
ТК-327.15
ПТ 42.15-8АIII-ЛК - 2шт (1,2м3;  3,0тн) Плиты в демонтаже трассы
ТК-327.15А
ПТ 54.15-8АIII-ЛК - 2шт (1,59м3;  3,975тн) Плиты в демонтаже трассы
ПТ 54.12 - 1шт (1,4м3;  3,5тн) Плиты в демонтаже трассы</t>
  </si>
  <si>
    <t>(0,82м+(0,16м/1,2))*3,14*86,3м</t>
  </si>
  <si>
    <t xml:space="preserve">В ТК-327.15А (врезка на дренаж)
Труба  Д100 - 12 м; 0,01тн
Отводы Д100  - 2шт * L-0,234м; 0,003тн 
кран шаровый Ду100-2шт (0,0083тн/2*2=83 кг), L-0,325м;</t>
  </si>
  <si>
    <t>(3,68м+0,2м)*0,1м*26м</t>
  </si>
  <si>
    <t xml:space="preserve">низ Л15-11 - (22шт новых)
верх Л17-11 - (22шт новых)
опорные подушки ОП-8 - (10шт новых)</t>
  </si>
  <si>
    <t>(1,6м*2шва)+(0,6м*4шва)+(2,05м*2шва)+2,96м)*22лотка)*0,002м</t>
  </si>
  <si>
    <t>88шт*0,0029тн</t>
  </si>
  <si>
    <t>(2,96м*3шва)+(2,05м*4шва)+(1,84м*4шва)*0,25м*22лотка</t>
  </si>
  <si>
    <t>7,4м*8,6м*0,15м</t>
  </si>
  <si>
    <t>7,4м*8,6м*0,1м</t>
  </si>
  <si>
    <t>6м*6м*0,15м</t>
  </si>
  <si>
    <t>6м*6м*0,1м</t>
  </si>
  <si>
    <t xml:space="preserve">Скользящие опоры ТС-624.000-063 - 10шт*0,069тн
Опора неподвижная Ду 1000 - 8шт (0,2622тн) ТС 667.00-06</t>
  </si>
  <si>
    <t>187м2*0,25м</t>
  </si>
  <si>
    <t xml:space="preserve">Плита дорожная ПДН - 4,20тн; 1,68м3 (на 1 ед.) 6,72м3, 16,80тн
Сталь арматурная Ø12мм-АIII по ГОСТ 5781-82 - 0,14тн (на 1 ед.)</t>
  </si>
  <si>
    <t xml:space="preserve">Начальник ОПиПР СП "ХТС"</t>
  </si>
  <si>
    <t xml:space="preserve">Кауров А.Ю.</t>
  </si>
  <si>
    <t xml:space="preserve">Подготовительные работы</t>
  </si>
  <si>
    <t xml:space="preserve"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толщина: 5 см м2</t>
  </si>
  <si>
    <t xml:space="preserve">Перевозка грузов автомобилями-самосвалами грузоподъемностью 10 т, работающих вне карьера, на расстояние: до 10 км I класс груза</t>
  </si>
  <si>
    <t xml:space="preserve">Плита дорожная ПДН - 4,20тн; 1,68м3 (на 1 ед.) 48,72м3, 121,8тн
Сталь арматурная Ø12мм-АIII по ГОСТ 5781-82 - 0,14тн (на 1 ед.)</t>
  </si>
  <si>
    <t xml:space="preserve">плит попадают в габарит траншеи</t>
  </si>
  <si>
    <t xml:space="preserve">Погрузка в автотранспортное средство: глина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</si>
  <si>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15 км</t>
  </si>
  <si>
    <t xml:space="preserve">Разборка монолитных железобетонных конструкций гидромолотом на базе экскаватора</t>
  </si>
  <si>
    <t xml:space="preserve">Укладка в одноэтажных зданиях и сооружениях балок перекрытий (при свободном опирании) массой: до 3 т и высоте здания до 25 м
(Демонтаж балки)</t>
  </si>
  <si>
    <t xml:space="preserve">Монтаж лестниц прямолинейных и криволинейных, пожарных с ограждением
(Демонтаж лестниц прямолинейных и криволинейных, пожарных с ограждением Л8)</t>
  </si>
  <si>
    <t xml:space="preserve">Демонтаж трубопроводов в непроходных каналах краном диаметром труб: до 800 мм</t>
  </si>
  <si>
    <t xml:space="preserve">Разборка тепловой изоляции: из ваты минеральной</t>
  </si>
  <si>
    <t xml:space="preserve">Монтаж опорных конструкций для крепления трубопроводов внутри зданий и сооружений массой: до 0,1 т
(Демонтаж скользящих опор, упоров)</t>
  </si>
  <si>
    <t xml:space="preserve">Демонтаж трубопроводов в непроходных каналах краном диаметром труб: до 100 мм</t>
  </si>
  <si>
    <t xml:space="preserve">Погрузка в автотранспортное средство: трубы металлические (погрузка и разгрузка с применением автомобильных кранов)
(трубы б/у)</t>
  </si>
  <si>
    <t xml:space="preserve">Перевозка грузов I класса автомобилями-трубоплетевозами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
(трубы б/у)</t>
  </si>
  <si>
    <t xml:space="preserve">Погрузка в автотранспортное средство: изделия из сборного железобетона, бетона, керамзитобетона массой от 3 до 6 тонн
(ж/б б/у)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</si>
  <si>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60 км (ж/б б/у)</t>
  </si>
  <si>
    <t xml:space="preserve">Погрузка в автотранспортное средство: мусор строительный с погрузкой экскаваторами емкостью ковша до 0,5 м3
(ТК-327.15 ,ТК-327.15А)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</si>
  <si>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60 км
(ТК-327.15 ,ТК-327.15А)</t>
  </si>
  <si>
    <t xml:space="preserve">Погрузка в автотранспортное средство: мусор строительный с погрузкой вручную  (изоляция б/у)</t>
  </si>
  <si>
    <t xml:space="preserve">Перевозка грузов IV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60 км
(изоляция б/у)</t>
  </si>
  <si>
    <t xml:space="preserve">Погрузка в автотранспортное средство: сталь профилей мелких (остальные виды стали, не указанные выше) 
(Опоры, м/к, заглушки б/у)</t>
  </si>
  <si>
    <t xml:space="preserve">Разгрузка с автотранспортного средства: сталь профилей мелких (остальные виды стали, не указанные выше)
(Опоры, м/к б/у)</t>
  </si>
  <si>
    <t xml:space="preserve">Погрузка в автотранспортное средство: сталь профилей крупных (в частности, балки, сваи, квадратная сечением более 40 х 40 миллиметров, круглая диаметром более 40 миллиметров, толстолистовая, тюбиги, швеллеры, шпунт металлический)
(Отводы, задвижки, сальниковые компенсаторы б/у)</t>
  </si>
  <si>
    <t xml:space="preserve">Разгрузка с автотранспортного средства: сталь профилей крупных (в частности, балки, сваи, квадратная сечением более 40 х 40 миллиметров, круглая диаметром более 40 миллиметров, толстолистовая, тюбиги, швеллеры, шпунт металлический)
Отводы, задвижки, сальниковые компенсаторы б/у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</si>
  <si>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</si>
  <si>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 xml:space="preserve">Погрузка в автотранспортное средство: сталь профилей крупных (в частности, балки, сваи, квадратная сечением более 40 х 40 миллиметров, круглая диаметром более 40 миллиметров, толстолистовая, тюбиги, швеллеры, шпунт металлический)
(Отводы + задвижки новые)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</si>
  <si>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
(Отводы + задвижки новые)</t>
  </si>
  <si>
    <t xml:space="preserve">Погрузка в автотранспортное средство: трубы металлические (погрузка и разгрузка с применением автомобильных кранов)
(трубы новые)</t>
  </si>
  <si>
    <t xml:space="preserve">Перевозка грузов I класса автомобилями-трубоплетевозами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
(трубы новые)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</si>
  <si>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км(ж/б новый)</t>
  </si>
  <si>
    <t xml:space="preserve">Устройство непроходных каналов: двухъячейковых, собираемых из верхних и нижних лотковых элементов
(Л15-11, Л17-11, ОП-8 по серии 3.006.1-2.87)</t>
  </si>
  <si>
    <t xml:space="preserve">Раствор готовый кладочный, цементный, М100</t>
  </si>
  <si>
    <t xml:space="preserve">Швеллеры стальные горячекатаные, марки стали Ст3пс, Ст3сп, № 12У-24У, № 12П-24П
(фиксаторы МС-1)</t>
  </si>
  <si>
    <t xml:space="preserve">Швеллеры стальные горячекатаные, марки стали Ст3пс, Ст3сп, № 12У-24У, № 12П-24П
(Стекломаст ТКП-4.0 по ТУ 21-5744710-515-92)</t>
  </si>
  <si>
    <t xml:space="preserve">Устройство основания под фундаменты: песчаного</t>
  </si>
  <si>
    <t xml:space="preserve">Устройство камер со стенками: из монолитного бетона</t>
  </si>
  <si>
    <t xml:space="preserve">Сборка с помощью крана на автомобильном ходу: лестницы прямолинейные и криволинейные с ограждением
(Стремянка Л8)</t>
  </si>
  <si>
    <t xml:space="preserve">Монтаж лестниц прямолинейных и криволинейных, пожарных с ограждением
(Стремянка Л8)</t>
  </si>
  <si>
    <t xml:space="preserve">Устройство бетонной подготовки</t>
  </si>
  <si>
    <t xml:space="preserve">Монтаж лестниц прямолинейных и криволинейных, пожарных с
(Стремянка Л8)</t>
  </si>
  <si>
    <t xml:space="preserve">Прокладка стальных трубопроводов в непроходном канале при номинальном давлении 1,6 МПа, температуре 150°С, диаметр труб: 1000 мм
(Материал Заказчика)</t>
  </si>
  <si>
    <t xml:space="preserve">Монтаж опорных конструкций для крепления трубопроводов внутри зданий и сооружений массой: до 0,1 т
(Опоры скользящие, упоры)</t>
  </si>
  <si>
    <t xml:space="preserve">Прокладка стальных трубопроводов в непроходном канале при номинальном давлении 1,6 МПа, температуре 150°С, диаметр труб: 300 мм</t>
  </si>
  <si>
    <t xml:space="preserve">Установка задвижек или клапанов стальных для горячей воды и пара диаметром: 300 мм</t>
  </si>
  <si>
    <t xml:space="preserve">Укладка стальных водопроводных труб с гидравлическим испытанием диаметром: 300 мм
(Ду 300 Б/У)</t>
  </si>
  <si>
    <t xml:space="preserve">Контроль качества сварных соединений труб ультразвуковым методом на трассе, условный диаметр: 1000 мм</t>
  </si>
  <si>
    <t xml:space="preserve">Присоединение трубопровода номинальным давлением до 2,5 МПа к действующей магистрали, диаметр наружный присоединяемой трубы: 820 мм</t>
  </si>
  <si>
    <t xml:space="preserve">Изоляция плоских и криволинейных поверхностей матами минераловатными прошивными безобкладочными и в обкладках, плитами минераловатными на синтетическом связующем, плитами из стеклянного штапельного волокна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</si>
  <si>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105 кг/м3, теплопроводность при 50/500 °C не более 0,039/0,132 Вт/(м*К), максимальная температура применения +660 °C, толщина 100 мм - 31,62м3</t>
  </si>
  <si>
    <t xml:space="preserve">Срезка поверхностного слоя асфальтобетонных дорожных покрытий на щебне марки по дробимости 1000 и более дорожными фрезами при ширине барабана 1000 мм, толщина слоя: до 5 см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</si>
  <si>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</si>
  <si>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 xml:space="preserve">Устройство покрытия из горячих асфальтобетонных смесей асфальтоукладчиками: третьего типоразмера, ширина укладки до 6 м, толщина слоя 4 см
(Нижний слой 7см)</t>
  </si>
  <si>
    <t xml:space="preserve">Устройство покрытия из горячих асфальтобетонных смесей асфальтоукладчиками: третьего типоразмера, ширина укладки до 6 м, толщина слоя 4 см
(Верхний слой 5см)</t>
  </si>
  <si>
    <t xml:space="preserve">Электродуговая сварка при монтаже одноэтажных производственных зданий: ограждений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</si>
</sst>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0.0"/>
    <numFmt numFmtId="161" formatCode="0.000"/>
    <numFmt numFmtId="162" formatCode="_-* #,##0.00\ [$₽-419]_-;\-* #,##0.00\ [$₽-419]_-;_-* &quot;-&quot;??\ [$₽-419]_-;_-@_-"/>
    <numFmt numFmtId="163" formatCode="#,##0.00\ \₽;[Red]\-#,##0.00\ \₽"/>
    <numFmt numFmtId="164" formatCode="0.0000"/>
  </numFmts>
  <fonts count="18">
    <font>
      <sz val="10.000000"/>
      <color theme="1"/>
      <name val="Arial Cyr"/>
    </font>
    <font>
      <sz val="10.000000"/>
      <name val="Times New Roman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0.000000"/>
      <color indexed="2"/>
      <name val="Arial"/>
    </font>
    <font>
      <sz val="8.000000"/>
      <name val="Arial"/>
    </font>
    <font>
      <sz val="8.000000"/>
      <name val="Times New Roman"/>
    </font>
    <font>
      <sz val="8.000000"/>
      <color indexed="2"/>
      <name val="Arial"/>
    </font>
    <font>
      <b/>
      <sz val="11.000000"/>
      <name val="Times New Roman"/>
    </font>
    <font>
      <b/>
      <sz val="10.000000"/>
      <name val="Times New Roman"/>
    </font>
    <font>
      <sz val="11.000000"/>
      <name val="Times New Roman"/>
    </font>
    <font>
      <sz val="9.000000"/>
      <name val="Arial"/>
    </font>
    <font>
      <i/>
      <sz val="9.000000"/>
      <name val="Arial"/>
    </font>
    <font>
      <i/>
      <sz val="11.000000"/>
      <name val="Times New Roman"/>
    </font>
    <font>
      <b/>
      <i/>
      <sz val="11.000000"/>
      <name val="Times New Roman"/>
    </font>
    <font>
      <i/>
      <sz val="10.000000"/>
      <name val="Arial"/>
    </font>
    <font>
      <b/>
      <sz val="12.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5"/>
        <bgColor rgb="FFD4F7A6"/>
      </patternFill>
    </fill>
    <fill>
      <patternFill patternType="solid">
        <fgColor indexed="5"/>
        <bgColor indexed="5"/>
      </patternFill>
    </fill>
    <fill>
      <patternFill patternType="solid">
        <fgColor rgb="FFA0FF7D"/>
        <bgColor rgb="FFA0FF7D"/>
      </patternFill>
    </fill>
    <fill>
      <patternFill patternType="solid">
        <fgColor indexed="42"/>
        <bgColor theme="0"/>
      </patternFill>
    </fill>
    <fill>
      <patternFill patternType="solid">
        <fgColor rgb="FFDEFFBD"/>
        <bgColor rgb="FFDEFFBD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54">
    <xf fontId="0" fillId="0" borderId="0" numFmtId="0" applyNumberFormat="1" applyFont="1" applyFill="1" applyBorder="1"/>
    <xf fontId="1" fillId="0" borderId="1" numFmtId="0" applyNumberFormat="1" applyFont="1" applyFill="1" applyBorder="1">
      <alignment horizontal="center"/>
    </xf>
    <xf fontId="2" fillId="0" borderId="0" numFmtId="0" applyNumberFormat="1" applyFont="1" applyFill="1" applyBorder="1">
      <alignment vertical="top"/>
    </xf>
    <xf fontId="1" fillId="0" borderId="1" numFmtId="0" applyNumberFormat="1" applyFont="1" applyFill="1" applyBorder="1">
      <alignment horizontal="center"/>
    </xf>
    <xf fontId="1" fillId="0" borderId="0" numFmtId="0" applyNumberFormat="1" applyFont="1" applyFill="1" applyBorder="1">
      <alignment vertical="top"/>
    </xf>
    <xf fontId="1" fillId="0" borderId="0" numFmtId="0" applyNumberFormat="1" applyFont="1" applyFill="1" applyBorder="1">
      <alignment horizontal="right" vertical="top" wrapText="1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2" applyNumberFormat="1" applyFont="1" applyFill="1" applyBorder="1">
      <alignment horizontal="right" vertical="top"/>
    </xf>
    <xf fontId="1" fillId="0" borderId="0" numFmtId="0" applyNumberFormat="1" applyFont="1" applyFill="1" applyBorder="1"/>
    <xf fontId="1" fillId="0" borderId="1" numFmtId="0" applyNumberFormat="1" applyFont="1" applyFill="0" applyBorder="1" applyProtection="0">
      <alignment horizontal="center"/>
    </xf>
    <xf fontId="1" fillId="0" borderId="1" numFmtId="0" applyNumberFormat="1" applyFont="1" applyFill="0" applyBorder="1" applyProtection="0">
      <alignment horizontal="center"/>
    </xf>
    <xf fontId="2" fillId="0" borderId="0" numFmtId="0" applyNumberFormat="1" applyFont="1" applyFill="1" applyBorder="1">
      <alignment vertical="top"/>
    </xf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1" numFmtId="0" applyNumberFormat="1" applyFont="1" applyFill="1" applyBorder="1">
      <alignment horizontal="center" wrapText="1"/>
    </xf>
    <xf fontId="1" fillId="0" borderId="1" numFmtId="0" applyNumberFormat="1" applyFont="1" applyFill="1" applyBorder="1">
      <alignment horizontal="center"/>
    </xf>
    <xf fontId="1" fillId="0" borderId="1" numFmtId="0" applyNumberFormat="1" applyFont="1" applyFill="1" applyBorder="1">
      <alignment horizontal="center" wrapText="1"/>
    </xf>
    <xf fontId="1" fillId="0" borderId="1" numFmtId="0" applyNumberFormat="1" applyFont="1" applyFill="1" applyBorder="1">
      <alignment horizontal="center"/>
    </xf>
    <xf fontId="1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</cellStyleXfs>
  <cellXfs count="138">
    <xf fontId="0" fillId="0" borderId="0" numFmtId="0" xfId="0"/>
    <xf fontId="3" fillId="0" borderId="0" numFmtId="0" xfId="0" applyFont="1"/>
    <xf fontId="3" fillId="0" borderId="0" numFmtId="49" xfId="0" applyNumberFormat="1" applyFont="1" applyAlignment="1">
      <alignment horizontal="center" vertical="top"/>
    </xf>
    <xf fontId="3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center" vertical="top"/>
    </xf>
    <xf fontId="3" fillId="0" borderId="0" numFmtId="0" xfId="0" applyFont="1" applyAlignment="1">
      <alignment horizontal="left"/>
    </xf>
    <xf fontId="3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center" vertical="center"/>
    </xf>
    <xf fontId="1" fillId="0" borderId="0" numFmtId="49" xfId="0" applyNumberFormat="1" applyFont="1" applyAlignment="1">
      <alignment horizontal="left" vertical="center" wrapText="1"/>
    </xf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right" vertical="center"/>
    </xf>
    <xf fontId="5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vertical="center"/>
    </xf>
    <xf fontId="6" fillId="0" borderId="0" numFmtId="0" xfId="0" applyFont="1" applyAlignment="1">
      <alignment horizontal="right" vertical="top"/>
    </xf>
    <xf fontId="1" fillId="0" borderId="0" numFmtId="0" xfId="0" applyFont="1" applyAlignment="1">
      <alignment horizontal="center" vertical="top" wrapText="1"/>
    </xf>
    <xf fontId="1" fillId="0" borderId="0" numFmtId="0" xfId="0" applyFont="1" applyAlignment="1">
      <alignment horizontal="left" vertical="top" wrapText="1"/>
    </xf>
    <xf fontId="7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center" vertical="top"/>
    </xf>
    <xf fontId="1" fillId="0" borderId="0" numFmtId="49" xfId="0" applyNumberFormat="1" applyFont="1" applyAlignment="1">
      <alignment horizontal="right" vertical="center"/>
    </xf>
    <xf fontId="8" fillId="0" borderId="0" numFmtId="0" xfId="0" applyFont="1" applyAlignment="1">
      <alignment horizontal="center" vertical="center" wrapText="1"/>
    </xf>
    <xf fontId="1" fillId="0" borderId="0" numFmtId="0" xfId="0" applyFont="1" applyAlignment="1">
      <alignment horizontal="left" vertical="top"/>
    </xf>
    <xf fontId="9" fillId="0" borderId="0" numFmtId="0" xfId="0" applyFont="1" applyAlignment="1">
      <alignment horizontal="center" vertical="center"/>
    </xf>
    <xf fontId="9" fillId="0" borderId="0" numFmtId="0" xfId="0" applyFont="1" applyAlignment="1">
      <alignment horizontal="center" vertical="center" wrapText="1"/>
    </xf>
    <xf fontId="1" fillId="0" borderId="2" numFmtId="49" xfId="0" applyNumberFormat="1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left" vertical="center"/>
    </xf>
    <xf fontId="1" fillId="0" borderId="2" numFmtId="49" xfId="0" applyNumberFormat="1" applyFont="1" applyBorder="1" applyAlignment="1">
      <alignment horizontal="center" vertical="center"/>
    </xf>
    <xf fontId="1" fillId="0" borderId="2" numFmtId="0" xfId="0" applyFont="1" applyBorder="1" applyAlignment="1">
      <alignment horizontal="center" vertical="center"/>
    </xf>
    <xf fontId="10" fillId="0" borderId="2" numFmtId="1" xfId="0" applyNumberFormat="1" applyFont="1" applyBorder="1" applyAlignment="1">
      <alignment horizontal="left" vertical="center" wrapText="1"/>
    </xf>
    <xf fontId="1" fillId="0" borderId="2" numFmtId="0" xfId="24" applyFont="1" applyBorder="1" applyAlignment="1">
      <alignment horizontal="center" vertical="center" wrapText="1"/>
    </xf>
    <xf fontId="1" fillId="0" borderId="2" numFmtId="0" xfId="24" applyFont="1" applyBorder="1" applyAlignment="1">
      <alignment horizontal="left" vertical="center" wrapText="1"/>
    </xf>
    <xf fontId="1" fillId="0" borderId="2" numFmtId="160" xfId="24" applyNumberFormat="1" applyFont="1" applyBorder="1" applyAlignment="1">
      <alignment horizontal="center" vertical="center" wrapText="1"/>
    </xf>
    <xf fontId="3" fillId="0" borderId="0" numFmtId="160" xfId="0" applyNumberFormat="1" applyFont="1" applyAlignment="1">
      <alignment vertical="center" wrapText="1"/>
    </xf>
    <xf fontId="3" fillId="0" borderId="0" numFmtId="160" xfId="0" applyNumberFormat="1" applyFont="1" applyAlignment="1">
      <alignment horizontal="left" vertical="center" wrapText="1"/>
    </xf>
    <xf fontId="3" fillId="0" borderId="3" numFmtId="160" xfId="0" applyNumberFormat="1" applyFont="1" applyBorder="1" applyAlignment="1">
      <alignment horizontal="left" vertical="center" wrapText="1"/>
    </xf>
    <xf fontId="3" fillId="0" borderId="0" numFmtId="160" xfId="0" applyNumberFormat="1" applyFont="1" applyAlignment="1">
      <alignment horizontal="center" vertical="center" wrapText="1"/>
    </xf>
    <xf fontId="1" fillId="0" borderId="2" numFmtId="161" xfId="24" applyNumberFormat="1" applyFont="1" applyBorder="1" applyAlignment="1">
      <alignment horizontal="center" vertical="center" wrapText="1"/>
    </xf>
    <xf fontId="3" fillId="0" borderId="0" numFmtId="161" xfId="0" applyNumberFormat="1" applyFont="1" applyAlignment="1">
      <alignment horizontal="center" vertical="center" wrapText="1"/>
    </xf>
    <xf fontId="1" fillId="0" borderId="2" numFmtId="1" xfId="24" applyNumberFormat="1" applyFont="1" applyBorder="1" applyAlignment="1">
      <alignment horizontal="center" vertical="center" wrapText="1"/>
    </xf>
    <xf fontId="1" fillId="2" borderId="2" numFmtId="2" xfId="24" applyNumberFormat="1" applyFont="1" applyFill="1" applyBorder="1" applyAlignment="1">
      <alignment horizontal="center" vertical="center" wrapText="1"/>
    </xf>
    <xf fontId="1" fillId="0" borderId="2" numFmtId="1" xfId="0" applyNumberFormat="1" applyFont="1" applyBorder="1" applyAlignment="1">
      <alignment horizontal="left" vertical="center" wrapText="1"/>
    </xf>
    <xf fontId="3" fillId="0" borderId="0" numFmtId="2" xfId="0" applyNumberFormat="1" applyFont="1"/>
    <xf fontId="3" fillId="0" borderId="0" numFmtId="2" xfId="0" applyNumberFormat="1" applyFont="1" applyAlignment="1">
      <alignment horizontal="center" vertical="center" wrapText="1"/>
    </xf>
    <xf fontId="1" fillId="2" borderId="2" numFmtId="160" xfId="24" applyNumberFormat="1" applyFont="1" applyFill="1" applyBorder="1" applyAlignment="1">
      <alignment horizontal="center" vertical="center" wrapText="1"/>
    </xf>
    <xf fontId="1" fillId="0" borderId="2" numFmtId="2" xfId="24" applyNumberFormat="1" applyFont="1" applyBorder="1" applyAlignment="1">
      <alignment horizontal="center" vertical="center" wrapText="1"/>
    </xf>
    <xf fontId="1" fillId="2" borderId="2" numFmtId="161" xfId="24" applyNumberFormat="1" applyFont="1" applyFill="1" applyBorder="1" applyAlignment="1">
      <alignment horizontal="center" vertical="center" wrapText="1"/>
    </xf>
    <xf fontId="3" fillId="0" borderId="0" numFmtId="0" xfId="0" applyFont="1" applyAlignment="1">
      <alignment vertical="center" wrapText="1"/>
    </xf>
    <xf fontId="3" fillId="0" borderId="0" numFmtId="161" xfId="0" applyNumberFormat="1" applyFont="1" applyAlignment="1">
      <alignment vertical="center" wrapText="1"/>
    </xf>
    <xf fontId="1" fillId="2" borderId="2" numFmtId="0" xfId="24" applyFont="1" applyFill="1" applyBorder="1" applyAlignment="1">
      <alignment horizontal="center" vertical="center" wrapText="1"/>
    </xf>
    <xf fontId="3" fillId="0" borderId="0" numFmtId="0" xfId="0" applyFont="1" applyAlignment="1">
      <alignment wrapText="1"/>
    </xf>
    <xf fontId="1" fillId="0" borderId="2" numFmtId="1" xfId="0" applyNumberFormat="1" applyFont="1" applyBorder="1" applyAlignment="1">
      <alignment horizontal="center" vertical="center" wrapText="1"/>
    </xf>
    <xf fontId="1" fillId="0" borderId="2" numFmtId="2" xfId="0" applyNumberFormat="1" applyFont="1" applyBorder="1" applyAlignment="1">
      <alignment horizontal="center" vertical="center" wrapText="1"/>
    </xf>
    <xf fontId="1" fillId="3" borderId="2" numFmtId="161" xfId="24" applyNumberFormat="1" applyFont="1" applyFill="1" applyBorder="1" applyAlignment="1">
      <alignment horizontal="center" vertical="center" wrapText="1"/>
    </xf>
    <xf fontId="1" fillId="2" borderId="2" numFmtId="160" xfId="0" applyNumberFormat="1" applyFont="1" applyFill="1" applyBorder="1" applyAlignment="1">
      <alignment horizontal="center" vertical="center" wrapText="1"/>
    </xf>
    <xf fontId="1" fillId="3" borderId="2" numFmtId="0" xfId="24" applyFont="1" applyFill="1" applyBorder="1" applyAlignment="1">
      <alignment horizontal="center" vertical="center" wrapText="1"/>
    </xf>
    <xf fontId="3" fillId="0" borderId="0" numFmtId="0" xfId="0" applyFont="1" applyAlignment="1">
      <alignment vertical="center"/>
    </xf>
    <xf fontId="1" fillId="0" borderId="1" numFmtId="1" xfId="24" applyNumberFormat="1" applyFont="1" applyBorder="1" applyAlignment="1">
      <alignment horizontal="center" vertical="center" wrapText="1"/>
    </xf>
    <xf fontId="1" fillId="0" borderId="1" numFmtId="0" xfId="24" applyFont="1" applyBorder="1" applyAlignment="1">
      <alignment horizontal="left" vertical="center" wrapText="1"/>
    </xf>
    <xf fontId="1" fillId="0" borderId="1" numFmtId="0" xfId="24" applyFont="1" applyBorder="1" applyAlignment="1">
      <alignment horizontal="center" vertical="center" wrapText="1"/>
    </xf>
    <xf fontId="1" fillId="3" borderId="2" numFmtId="160" xfId="24" applyNumberFormat="1" applyFont="1" applyFill="1" applyBorder="1" applyAlignment="1">
      <alignment horizontal="center" vertical="center" wrapText="1"/>
    </xf>
    <xf fontId="3" fillId="0" borderId="0" numFmtId="160" xfId="0" applyNumberFormat="1" applyFont="1" applyAlignment="1">
      <alignment vertical="center"/>
    </xf>
    <xf fontId="3" fillId="0" borderId="0" numFmtId="2" xfId="0" applyNumberFormat="1" applyFont="1" applyAlignment="1">
      <alignment vertical="center" wrapText="1"/>
    </xf>
    <xf fontId="3" fillId="0" borderId="0" numFmtId="2" xfId="0" applyNumberFormat="1" applyFont="1" applyAlignment="1">
      <alignment vertical="center"/>
    </xf>
    <xf fontId="1" fillId="3" borderId="2" numFmtId="2" xfId="24" applyNumberFormat="1" applyFont="1" applyFill="1" applyBorder="1" applyAlignment="1">
      <alignment horizontal="center" vertical="center" wrapText="1"/>
    </xf>
    <xf fontId="1" fillId="0" borderId="0" numFmtId="0" xfId="0" applyFont="1" applyAlignment="1">
      <alignment horizontal="justify" vertical="top" wrapText="1"/>
    </xf>
    <xf fontId="3" fillId="0" borderId="0" numFmtId="49" xfId="0" applyNumberFormat="1" applyFont="1" applyAlignment="1">
      <alignment horizontal="left" vertical="top"/>
    </xf>
    <xf fontId="11" fillId="0" borderId="0" numFmtId="0" xfId="0" applyFont="1" applyAlignment="1">
      <alignment horizontal="left" vertical="center"/>
    </xf>
    <xf fontId="11" fillId="0" borderId="0" numFmtId="0" xfId="0" applyFont="1" applyAlignment="1">
      <alignment horizontal="center" vertical="center"/>
    </xf>
    <xf fontId="12" fillId="0" borderId="0" numFmtId="0" xfId="24" applyFont="1"/>
    <xf fontId="12" fillId="0" borderId="0" numFmtId="0" xfId="24" applyFont="1" applyAlignment="1">
      <alignment horizontal="center" vertical="center" wrapText="1"/>
    </xf>
    <xf fontId="12" fillId="0" borderId="0" numFmtId="0" xfId="24" applyFont="1" applyAlignment="1">
      <alignment horizontal="center" vertical="center"/>
    </xf>
    <xf fontId="13" fillId="0" borderId="0" numFmtId="0" xfId="24" applyFont="1"/>
    <xf fontId="14" fillId="0" borderId="0" numFmtId="49" xfId="25" applyNumberFormat="1" applyFont="1" applyAlignment="1">
      <alignment horizontal="center" vertical="top"/>
    </xf>
    <xf fontId="15" fillId="0" borderId="0" numFmtId="0" xfId="25" applyFont="1" applyAlignment="1">
      <alignment horizontal="left" vertical="top" wrapText="1"/>
    </xf>
    <xf fontId="15" fillId="0" borderId="0" numFmtId="0" xfId="25" applyFont="1" applyAlignment="1">
      <alignment horizontal="center" vertical="top"/>
    </xf>
    <xf fontId="14" fillId="0" borderId="0" numFmtId="0" xfId="25" applyFont="1" applyAlignment="1">
      <alignment horizontal="left"/>
    </xf>
    <xf fontId="13" fillId="0" borderId="0" numFmtId="0" xfId="24" applyFont="1" applyAlignment="1">
      <alignment horizontal="center" vertical="center" wrapText="1"/>
    </xf>
    <xf fontId="13" fillId="0" borderId="0" numFmtId="0" xfId="24" applyFont="1" applyAlignment="1">
      <alignment horizontal="center" vertical="center"/>
    </xf>
    <xf fontId="16" fillId="0" borderId="0" numFmtId="0" xfId="0" applyFont="1"/>
    <xf fontId="15" fillId="0" borderId="0" numFmtId="49" xfId="25" applyNumberFormat="1" applyFont="1" applyAlignment="1">
      <alignment horizontal="left" vertical="top" wrapText="1"/>
    </xf>
    <xf fontId="15" fillId="0" borderId="0" numFmtId="49" xfId="25" applyNumberFormat="1" applyFont="1" applyAlignment="1">
      <alignment vertical="top" wrapText="1"/>
    </xf>
    <xf fontId="15" fillId="0" borderId="0" numFmtId="49" xfId="25" applyNumberFormat="1" applyFont="1" applyAlignment="1">
      <alignment horizontal="center" vertical="top" wrapText="1"/>
    </xf>
    <xf fontId="14" fillId="0" borderId="0" numFmtId="49" xfId="25" applyNumberFormat="1" applyFont="1" applyAlignment="1">
      <alignment horizontal="left" vertical="top" wrapText="1"/>
    </xf>
    <xf fontId="16" fillId="0" borderId="0" numFmtId="0" xfId="0" applyFont="1" applyAlignment="1">
      <alignment horizontal="center" vertical="center" wrapText="1"/>
    </xf>
    <xf fontId="16" fillId="0" borderId="0" numFmtId="0" xfId="0" applyFont="1" applyAlignment="1">
      <alignment horizontal="center" vertical="center"/>
    </xf>
    <xf fontId="14" fillId="0" borderId="0" numFmtId="49" xfId="0" applyNumberFormat="1" applyFont="1" applyAlignment="1">
      <alignment horizontal="center" vertical="top"/>
    </xf>
    <xf fontId="15" fillId="0" borderId="0" numFmtId="0" xfId="0" applyFont="1" applyAlignment="1">
      <alignment horizontal="left" vertical="top" wrapText="1"/>
    </xf>
    <xf fontId="15" fillId="0" borderId="0" numFmtId="0" xfId="0" applyFont="1" applyAlignment="1">
      <alignment horizontal="center" vertical="top"/>
    </xf>
    <xf fontId="14" fillId="0" borderId="0" numFmtId="14" xfId="0" applyNumberFormat="1" applyFont="1" applyAlignment="1">
      <alignment horizontal="left" vertical="top"/>
    </xf>
    <xf fontId="11" fillId="0" borderId="0" numFmtId="49" xfId="0" applyNumberFormat="1" applyFont="1" applyAlignment="1">
      <alignment horizontal="center" vertical="top"/>
    </xf>
    <xf fontId="11" fillId="0" borderId="0" numFmtId="0" xfId="0" applyFont="1" applyAlignment="1">
      <alignment horizontal="left" vertical="top" wrapText="1"/>
    </xf>
    <xf fontId="11" fillId="0" borderId="0" numFmtId="0" xfId="0" applyFont="1" applyAlignment="1">
      <alignment horizontal="center" vertical="top"/>
    </xf>
    <xf fontId="11" fillId="0" borderId="0" numFmtId="0" xfId="0" applyFont="1" applyAlignment="1">
      <alignment horizontal="left" vertical="top"/>
    </xf>
    <xf fontId="7" fillId="0" borderId="0" numFmtId="49" xfId="0" applyNumberFormat="1" applyFont="1" applyAlignment="1">
      <alignment horizontal="center" vertical="center"/>
    </xf>
    <xf fontId="7" fillId="0" borderId="0" numFmtId="49" xfId="0" applyNumberFormat="1" applyFont="1" applyAlignment="1">
      <alignment horizontal="left" vertical="center"/>
    </xf>
    <xf fontId="7" fillId="0" borderId="0" numFmtId="0" xfId="0" applyFont="1" applyAlignment="1">
      <alignment horizontal="left" vertical="center"/>
    </xf>
    <xf fontId="7" fillId="0" borderId="0" numFmtId="0" xfId="0" applyFont="1" applyAlignment="1">
      <alignment horizontal="center" vertical="center"/>
    </xf>
    <xf fontId="3" fillId="3" borderId="0" numFmtId="0" xfId="0" applyFont="1" applyFill="1"/>
    <xf fontId="3" fillId="0" borderId="0" numFmtId="162" xfId="0" applyNumberFormat="1" applyFont="1"/>
    <xf fontId="12" fillId="0" borderId="0" numFmtId="0" xfId="0" applyFont="1" applyAlignment="1">
      <alignment horizontal="center" vertical="top" wrapText="1"/>
    </xf>
    <xf fontId="12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center" vertical="top"/>
    </xf>
    <xf fontId="11" fillId="0" borderId="0" numFmtId="49" xfId="0" applyNumberFormat="1" applyFont="1" applyAlignment="1">
      <alignment horizontal="right" vertical="center" wrapText="1"/>
    </xf>
    <xf fontId="1" fillId="0" borderId="0" numFmtId="49" xfId="0" applyNumberFormat="1" applyFont="1" applyAlignment="1">
      <alignment horizontal="left" vertical="center"/>
    </xf>
    <xf fontId="1" fillId="0" borderId="0" numFmtId="49" xfId="0" applyNumberFormat="1" applyFont="1" applyAlignment="1">
      <alignment vertical="center" wrapText="1"/>
    </xf>
    <xf fontId="10" fillId="0" borderId="0" numFmtId="0" xfId="0" applyFont="1" applyAlignment="1">
      <alignment horizontal="right" vertical="center"/>
    </xf>
    <xf fontId="1" fillId="0" borderId="0" numFmtId="49" xfId="0" applyNumberFormat="1" applyFont="1" applyAlignment="1">
      <alignment horizontal="left" vertical="top"/>
    </xf>
    <xf fontId="17" fillId="0" borderId="0" numFmtId="0" xfId="0" applyFont="1" applyAlignment="1">
      <alignment horizontal="right" vertical="center" wrapText="1"/>
    </xf>
    <xf fontId="1" fillId="0" borderId="0" numFmtId="49" xfId="0" applyNumberFormat="1" applyFont="1" applyAlignment="1">
      <alignment horizontal="left" vertical="top" wrapText="1"/>
    </xf>
    <xf fontId="11" fillId="0" borderId="0" numFmtId="0" xfId="0" applyFont="1" applyAlignment="1">
      <alignment horizontal="center" vertical="center" wrapText="1"/>
    </xf>
    <xf fontId="3" fillId="0" borderId="0" numFmtId="163" xfId="0" applyNumberFormat="1" applyFont="1"/>
    <xf fontId="3" fillId="3" borderId="0" numFmtId="162" xfId="0" applyNumberFormat="1" applyFont="1" applyFill="1"/>
    <xf fontId="3" fillId="0" borderId="2" numFmtId="0" xfId="0" applyFont="1" applyBorder="1"/>
    <xf fontId="1" fillId="0" borderId="2" numFmtId="160" xfId="0" applyNumberFormat="1" applyFont="1" applyBorder="1" applyAlignment="1">
      <alignment horizontal="center" vertical="center" wrapText="1"/>
    </xf>
    <xf fontId="12" fillId="3" borderId="0" numFmtId="0" xfId="24" applyFont="1" applyFill="1"/>
    <xf fontId="12" fillId="0" borderId="0" numFmtId="162" xfId="24" applyNumberFormat="1" applyFont="1"/>
    <xf fontId="13" fillId="3" borderId="0" numFmtId="0" xfId="24" applyFont="1" applyFill="1"/>
    <xf fontId="13" fillId="0" borderId="0" numFmtId="162" xfId="24" applyNumberFormat="1" applyFont="1"/>
    <xf fontId="16" fillId="3" borderId="0" numFmtId="0" xfId="0" applyFont="1" applyFill="1"/>
    <xf fontId="16" fillId="0" borderId="0" numFmtId="162" xfId="0" applyNumberFormat="1" applyFont="1"/>
    <xf fontId="1" fillId="3" borderId="2" numFmtId="1" xfId="24" applyNumberFormat="1" applyFont="1" applyFill="1" applyBorder="1" applyAlignment="1">
      <alignment horizontal="center" vertical="center" wrapText="1"/>
    </xf>
    <xf fontId="1" fillId="4" borderId="2" numFmtId="2" xfId="24" applyNumberFormat="1" applyFont="1" applyFill="1" applyBorder="1" applyAlignment="1">
      <alignment horizontal="center" vertical="center" wrapText="1"/>
    </xf>
    <xf fontId="3" fillId="0" borderId="0" numFmtId="2" xfId="0" applyNumberFormat="1" applyFont="1" applyAlignment="1">
      <alignment horizontal="center" vertical="center"/>
    </xf>
    <xf fontId="1" fillId="5" borderId="2" numFmtId="1" xfId="0" applyNumberFormat="1" applyFont="1" applyFill="1" applyBorder="1" applyAlignment="1">
      <alignment horizontal="left" vertical="center" wrapText="1"/>
    </xf>
    <xf fontId="1" fillId="0" borderId="0" numFmtId="0" xfId="0" applyFont="1" applyAlignment="1">
      <alignment horizontal="left"/>
    </xf>
    <xf fontId="1" fillId="0" borderId="0" numFmtId="49" xfId="0" applyNumberFormat="1" applyFont="1" applyAlignment="1">
      <alignment horizontal="center" vertical="top"/>
    </xf>
    <xf fontId="1" fillId="6" borderId="2" numFmtId="160" xfId="24" applyNumberFormat="1" applyFont="1" applyFill="1" applyBorder="1" applyAlignment="1">
      <alignment horizontal="center" vertical="center" wrapText="1"/>
    </xf>
    <xf fontId="1" fillId="6" borderId="2" numFmtId="0" xfId="24" applyFont="1" applyFill="1" applyBorder="1" applyAlignment="1">
      <alignment horizontal="left" vertical="center" wrapText="1"/>
    </xf>
    <xf fontId="1" fillId="0" borderId="4" numFmtId="0" xfId="24" applyFont="1" applyBorder="1" applyAlignment="1">
      <alignment horizontal="left" vertical="center" wrapText="1"/>
    </xf>
    <xf fontId="1" fillId="0" borderId="4" numFmtId="0" xfId="24" applyFont="1" applyBorder="1" applyAlignment="1">
      <alignment horizontal="center" vertical="center" wrapText="1"/>
    </xf>
    <xf fontId="1" fillId="0" borderId="5" numFmtId="0" xfId="24" applyFont="1" applyBorder="1" applyAlignment="1">
      <alignment horizontal="left" vertical="center" wrapText="1"/>
    </xf>
    <xf fontId="1" fillId="6" borderId="6" numFmtId="161" xfId="24" applyNumberFormat="1" applyFont="1" applyFill="1" applyBorder="1" applyAlignment="1">
      <alignment horizontal="center" vertical="center" wrapText="1"/>
    </xf>
    <xf fontId="10" fillId="0" borderId="7" numFmtId="1" xfId="0" applyNumberFormat="1" applyFont="1" applyBorder="1" applyAlignment="1">
      <alignment horizontal="left" vertical="center" wrapText="1"/>
    </xf>
    <xf fontId="1" fillId="6" borderId="2" numFmtId="2" xfId="24" applyNumberFormat="1" applyFont="1" applyFill="1" applyBorder="1" applyAlignment="1">
      <alignment horizontal="center" vertical="center" wrapText="1"/>
    </xf>
    <xf fontId="1" fillId="6" borderId="2" numFmtId="0" xfId="24" applyFont="1" applyFill="1" applyBorder="1" applyAlignment="1">
      <alignment horizontal="center" vertical="center" wrapText="1"/>
    </xf>
    <xf fontId="1" fillId="0" borderId="2" numFmtId="164" xfId="24" applyNumberFormat="1" applyFont="1" applyBorder="1" applyAlignment="1">
      <alignment horizontal="center" vertical="center" wrapText="1"/>
    </xf>
    <xf fontId="3" fillId="0" borderId="0" numFmtId="164" xfId="0" applyNumberFormat="1" applyFont="1"/>
    <xf fontId="1" fillId="0" borderId="6" numFmtId="161" xfId="24" applyNumberFormat="1" applyFont="1" applyBorder="1" applyAlignment="1">
      <alignment horizontal="center" vertical="center" wrapText="1"/>
    </xf>
  </cellXfs>
  <cellStyles count="5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ТекЦ" xfId="10"/>
    <cellStyle name="ЛокСмета" xfId="11"/>
    <cellStyle name="ЛокСмета 2" xfId="12"/>
    <cellStyle name="ЛокСмМТСН" xfId="13"/>
    <cellStyle name="Обычный" xfId="0" builtinId="0"/>
    <cellStyle name="Обычный 10" xfId="14"/>
    <cellStyle name="Обычный 11" xfId="15"/>
    <cellStyle name="Обычный 12" xfId="16"/>
    <cellStyle name="Обычный 13" xfId="17"/>
    <cellStyle name="Обычный 14" xfId="18"/>
    <cellStyle name="Обычный 15" xfId="19"/>
    <cellStyle name="Обычный 16" xfId="20"/>
    <cellStyle name="Обычный 17" xfId="21"/>
    <cellStyle name="Обычный 18" xfId="22"/>
    <cellStyle name="Обычный 19" xfId="23"/>
    <cellStyle name="Обычный 2" xfId="24"/>
    <cellStyle name="Обычный 2 2" xfId="25"/>
    <cellStyle name="Обычный 20" xfId="26"/>
    <cellStyle name="Обычный 21" xfId="27"/>
    <cellStyle name="Обычный 22" xfId="28"/>
    <cellStyle name="Обычный 23" xfId="29"/>
    <cellStyle name="Обычный 24" xfId="30"/>
    <cellStyle name="Обычный 25" xfId="31"/>
    <cellStyle name="Обычный 26" xfId="32"/>
    <cellStyle name="Обычный 27" xfId="33"/>
    <cellStyle name="Обычный 28" xfId="34"/>
    <cellStyle name="Обычный 29" xfId="35"/>
    <cellStyle name="Обычный 3" xfId="36"/>
    <cellStyle name="Обычный 3 2" xfId="37"/>
    <cellStyle name="Обычный 30" xfId="38"/>
    <cellStyle name="Обычный 31" xfId="39"/>
    <cellStyle name="Обычный 32" xfId="40"/>
    <cellStyle name="Обычный 4" xfId="41"/>
    <cellStyle name="Обычный 5" xfId="42"/>
    <cellStyle name="Обычный 6" xfId="43"/>
    <cellStyle name="Обычный 7" xfId="44"/>
    <cellStyle name="Обычный 8" xfId="45"/>
    <cellStyle name="Обычный 9" xfId="46"/>
    <cellStyle name="Параметр" xfId="47"/>
    <cellStyle name="ПеременныеСметы" xfId="48"/>
    <cellStyle name="РесСмета" xfId="49"/>
    <cellStyle name="СводкаСтоимРаб" xfId="50"/>
    <cellStyle name="Титул" xfId="51"/>
    <cellStyle name="Хвост" xfId="52"/>
    <cellStyle name="Экспертиза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31" zoomScale="85" workbookViewId="0">
      <selection activeCell="D114" activeCellId="0" sqref="D114"/>
    </sheetView>
  </sheetViews>
  <sheetFormatPr defaultColWidth="9.140625" defaultRowHeight="12.75" outlineLevelRow="1"/>
  <cols>
    <col customWidth="1" min="1" max="1" style="2" width="4.42578125"/>
    <col customWidth="1" min="2" max="2" style="3" width="40.85546875"/>
    <col customWidth="1" min="3" max="3" style="4" width="14.85546875"/>
    <col customWidth="1" min="4" max="4" style="4" width="10.85546875"/>
    <col customWidth="1" min="5" max="5" style="5" width="63.28515625"/>
    <col customWidth="1" hidden="1" min="6" max="6" style="6" width="20.5703125"/>
    <col customWidth="1" hidden="1" min="7" max="7" style="7" width="9.140625"/>
    <col customWidth="1" hidden="1" min="8" max="8" style="1" width="11.140625"/>
    <col customWidth="1" hidden="1" min="9" max="10" style="1" width="10"/>
    <col customWidth="1" hidden="1" min="11" max="13" style="1" width="9.140625"/>
    <col customWidth="1" min="14" max="16" style="1" width="9.140625"/>
    <col min="17" max="16384" style="1" width="9.140625"/>
  </cols>
  <sheetData>
    <row r="1">
      <c r="A1" s="8"/>
      <c r="B1" s="8"/>
      <c r="C1" s="9"/>
      <c r="D1" s="9"/>
      <c r="E1" s="10" t="s">
        <v>0</v>
      </c>
      <c r="F1" s="11"/>
      <c r="G1" s="12"/>
      <c r="H1" s="13"/>
    </row>
    <row r="2">
      <c r="A2" s="14"/>
      <c r="B2" s="15"/>
      <c r="C2" s="9"/>
      <c r="D2" s="9"/>
      <c r="E2" s="16"/>
      <c r="F2" s="11"/>
      <c r="G2" s="12"/>
      <c r="H2" s="13"/>
    </row>
    <row r="3">
      <c r="A3" s="17"/>
      <c r="B3" s="15"/>
      <c r="C3" s="9"/>
      <c r="D3" s="9"/>
      <c r="E3" s="18" t="s">
        <v>1</v>
      </c>
      <c r="F3" s="11"/>
      <c r="G3" s="12"/>
      <c r="H3" s="13"/>
    </row>
    <row r="4">
      <c r="A4" s="17"/>
      <c r="B4" s="15"/>
      <c r="C4" s="9"/>
      <c r="D4" s="9"/>
      <c r="E4" s="18" t="s">
        <v>2</v>
      </c>
      <c r="F4" s="11"/>
      <c r="G4" s="12"/>
      <c r="H4" s="13"/>
    </row>
    <row r="5">
      <c r="A5" s="14"/>
      <c r="B5" s="15"/>
      <c r="C5" s="9"/>
      <c r="D5" s="9"/>
      <c r="E5" s="10" t="s">
        <v>3</v>
      </c>
      <c r="F5" s="11"/>
      <c r="G5" s="12"/>
      <c r="H5" s="13"/>
    </row>
    <row r="6">
      <c r="A6" s="14"/>
      <c r="B6" s="15"/>
      <c r="C6" s="9"/>
      <c r="D6" s="9"/>
      <c r="E6" s="10"/>
      <c r="F6" s="19"/>
      <c r="G6" s="12"/>
      <c r="H6" s="13"/>
    </row>
    <row r="7">
      <c r="A7" s="14"/>
      <c r="B7" s="15"/>
      <c r="C7" s="9"/>
      <c r="D7" s="9"/>
      <c r="E7" s="20"/>
      <c r="F7" s="19"/>
      <c r="G7" s="12"/>
      <c r="H7" s="13"/>
    </row>
    <row r="8" ht="14.25">
      <c r="A8" s="21" t="s">
        <v>4</v>
      </c>
      <c r="B8" s="21"/>
      <c r="C8" s="21"/>
      <c r="D8" s="21"/>
      <c r="E8" s="21"/>
      <c r="F8" s="19"/>
      <c r="G8" s="12"/>
      <c r="H8" s="13"/>
    </row>
    <row r="9" ht="48" customHeight="1">
      <c r="A9" s="22" t="s">
        <v>5</v>
      </c>
      <c r="B9" s="21"/>
      <c r="C9" s="21"/>
      <c r="D9" s="21"/>
      <c r="E9" s="21"/>
      <c r="F9" s="19"/>
      <c r="G9" s="12"/>
      <c r="H9" s="13"/>
    </row>
    <row r="10" ht="40.5" customHeight="1">
      <c r="A10" s="23" t="s">
        <v>6</v>
      </c>
      <c r="B10" s="24" t="s">
        <v>7</v>
      </c>
      <c r="C10" s="24" t="s">
        <v>8</v>
      </c>
      <c r="D10" s="24" t="s">
        <v>9</v>
      </c>
      <c r="E10" s="25" t="s">
        <v>10</v>
      </c>
    </row>
    <row r="11">
      <c r="A11" s="26">
        <v>1</v>
      </c>
      <c r="B11" s="27">
        <v>2</v>
      </c>
      <c r="C11" s="27">
        <v>3</v>
      </c>
      <c r="D11" s="27">
        <v>4</v>
      </c>
      <c r="E11" s="25">
        <v>5</v>
      </c>
    </row>
    <row r="12">
      <c r="A12" s="28" t="s">
        <v>11</v>
      </c>
      <c r="B12" s="28"/>
      <c r="C12" s="28"/>
      <c r="D12" s="28"/>
      <c r="E12" s="28"/>
      <c r="G12" s="7" t="s">
        <v>12</v>
      </c>
      <c r="H12" s="1" t="s">
        <v>13</v>
      </c>
      <c r="I12" s="1" t="s">
        <v>14</v>
      </c>
      <c r="K12" s="1" t="s">
        <v>15</v>
      </c>
      <c r="L12" s="1" t="s">
        <v>16</v>
      </c>
      <c r="M12" s="1" t="s">
        <v>17</v>
      </c>
    </row>
    <row r="13" ht="120" outlineLevel="1">
      <c r="A13" s="29">
        <v>1</v>
      </c>
      <c r="B13" s="30" t="s">
        <v>18</v>
      </c>
      <c r="C13" s="29" t="s">
        <v>19</v>
      </c>
      <c r="D13" s="31">
        <f>K13+L13+M13</f>
        <v>1607.1449850000001</v>
      </c>
      <c r="E13" s="30" t="s">
        <v>20</v>
      </c>
      <c r="F13" s="32"/>
      <c r="G13" s="33" t="s">
        <v>21</v>
      </c>
      <c r="H13" s="34" t="s">
        <v>22</v>
      </c>
      <c r="I13" s="34" t="s">
        <v>23</v>
      </c>
      <c r="K13" s="1">
        <f>(((((5.7+8.3)/2)*2.6)*26-(1.48*2*1.4*26))*0.97)</f>
        <v>354.49232000000001</v>
      </c>
      <c r="L13" s="1">
        <f>((5.25/6*(((2*18.3+10.4)*17.1)+((2*10.4+18.3)*9.2)))-(4.5*3*3))*0.97</f>
        <v>948.16772500000002</v>
      </c>
      <c r="M13" s="1">
        <f>((3.4/6*(((2*12.9+7.8)*12.9)+((2*7.8+12.9)*7.8)))-(5.06*3.8*3))*0.97</f>
        <v>304.48494000000005</v>
      </c>
    </row>
    <row r="14" ht="72" outlineLevel="1">
      <c r="A14" s="29">
        <f t="shared" ref="A14:A22" si="0">A13+1</f>
        <v>2</v>
      </c>
      <c r="B14" s="30" t="s">
        <v>24</v>
      </c>
      <c r="C14" s="29" t="s">
        <v>19</v>
      </c>
      <c r="D14" s="31">
        <f>K14+M14</f>
        <v>20.380740000000003</v>
      </c>
      <c r="E14" s="30" t="s">
        <v>25</v>
      </c>
      <c r="F14" s="35"/>
      <c r="K14" s="1">
        <f>(((((5.7+8.3)/2)*2.6)*26-(1.48*2*1.4*26))*0.03)</f>
        <v>10.96368</v>
      </c>
      <c r="L14" s="1">
        <f>((5.25/6*(((2*18.3+10.4)*17.1)+((2*10.4+18.3)*9.2)))-(4.5*3*3))*0.03</f>
        <v>29.324775000000002</v>
      </c>
      <c r="M14" s="1">
        <f>((3.4/6*(((2*12.9+7.8)*12.9)+((2*7.8+12.9)*7.8)))-(5.06*3.8*3))*0.03</f>
        <v>9.4170600000000011</v>
      </c>
    </row>
    <row r="15" ht="36" outlineLevel="1">
      <c r="A15" s="29">
        <f t="shared" si="0"/>
        <v>3</v>
      </c>
      <c r="B15" s="30" t="s">
        <v>26</v>
      </c>
      <c r="C15" s="29" t="s">
        <v>19</v>
      </c>
      <c r="D15" s="31">
        <f>L14</f>
        <v>29.324775000000002</v>
      </c>
      <c r="E15" s="30" t="s">
        <v>27</v>
      </c>
      <c r="F15" s="35"/>
    </row>
    <row r="16" ht="36" outlineLevel="1">
      <c r="A16" s="29">
        <f t="shared" si="0"/>
        <v>4</v>
      </c>
      <c r="B16" s="30" t="s">
        <v>28</v>
      </c>
      <c r="C16" s="29" t="s">
        <v>29</v>
      </c>
      <c r="D16" s="31">
        <v>289.30000000000001</v>
      </c>
      <c r="E16" s="30"/>
      <c r="F16" s="35"/>
    </row>
    <row r="17" ht="36" outlineLevel="1">
      <c r="A17" s="29">
        <f t="shared" si="0"/>
        <v>5</v>
      </c>
      <c r="B17" s="30" t="s">
        <v>30</v>
      </c>
      <c r="C17" s="29" t="s">
        <v>31</v>
      </c>
      <c r="D17" s="36">
        <f>ROUND((49.7)*1.95,3)</f>
        <v>96.915000000000006</v>
      </c>
      <c r="E17" s="30" t="s">
        <v>32</v>
      </c>
      <c r="F17" s="37"/>
    </row>
    <row r="18" ht="36.75" customHeight="1" outlineLevel="1">
      <c r="A18" s="29">
        <f t="shared" si="0"/>
        <v>6</v>
      </c>
      <c r="B18" s="30" t="s">
        <v>33</v>
      </c>
      <c r="C18" s="29" t="s">
        <v>19</v>
      </c>
      <c r="D18" s="31">
        <f>((1.28*2)*0.2)*24</f>
        <v>12.288</v>
      </c>
      <c r="E18" s="30" t="s">
        <v>34</v>
      </c>
      <c r="F18" s="35"/>
    </row>
    <row r="19" ht="36" customHeight="1" outlineLevel="1">
      <c r="A19" s="29">
        <f t="shared" si="0"/>
        <v>7</v>
      </c>
      <c r="B19" s="30" t="s">
        <v>35</v>
      </c>
      <c r="C19" s="29" t="s">
        <v>31</v>
      </c>
      <c r="D19" s="36">
        <f>ROUND(12.3*1.95,3)</f>
        <v>23.984999999999999</v>
      </c>
      <c r="E19" s="30" t="s">
        <v>36</v>
      </c>
      <c r="F19" s="37"/>
    </row>
    <row r="20" ht="42.75" customHeight="1" outlineLevel="1">
      <c r="A20" s="29">
        <f t="shared" si="0"/>
        <v>8</v>
      </c>
      <c r="B20" s="30" t="s">
        <v>37</v>
      </c>
      <c r="C20" s="29" t="s">
        <v>31</v>
      </c>
      <c r="D20" s="36">
        <f>ROUND((1607.1+49.7+12.3)*1.95,3)</f>
        <v>3254.7449999999999</v>
      </c>
      <c r="E20" s="30" t="s">
        <v>38</v>
      </c>
      <c r="F20" s="35"/>
    </row>
    <row r="21" outlineLevel="1">
      <c r="A21" s="29">
        <f t="shared" si="0"/>
        <v>9</v>
      </c>
      <c r="B21" s="30" t="s">
        <v>39</v>
      </c>
      <c r="C21" s="29" t="s">
        <v>19</v>
      </c>
      <c r="D21" s="31">
        <f>ROUND(D13+D14+D18,1)</f>
        <v>1639.8000000000002</v>
      </c>
      <c r="E21" s="30" t="s">
        <v>40</v>
      </c>
      <c r="F21" s="35"/>
    </row>
    <row r="22" outlineLevel="1">
      <c r="A22" s="29">
        <f t="shared" si="0"/>
        <v>10</v>
      </c>
      <c r="B22" s="30" t="s">
        <v>41</v>
      </c>
      <c r="C22" s="29" t="s">
        <v>42</v>
      </c>
      <c r="D22" s="38">
        <f>ROUND(D21*2/50,1)</f>
        <v>65.600000000000009</v>
      </c>
      <c r="E22" s="30" t="s">
        <v>43</v>
      </c>
      <c r="F22" s="35"/>
    </row>
    <row r="23">
      <c r="A23" s="28" t="s">
        <v>44</v>
      </c>
      <c r="B23" s="28"/>
      <c r="C23" s="28"/>
      <c r="D23" s="28"/>
      <c r="E23" s="28"/>
    </row>
    <row r="24">
      <c r="A24" s="28" t="s">
        <v>45</v>
      </c>
      <c r="B24" s="28"/>
      <c r="C24" s="28"/>
      <c r="D24" s="28"/>
      <c r="E24" s="28"/>
    </row>
    <row r="25" ht="120">
      <c r="A25" s="29">
        <f>A22+1</f>
        <v>11</v>
      </c>
      <c r="B25" s="30" t="s">
        <v>46</v>
      </c>
      <c r="C25" s="29" t="s">
        <v>19</v>
      </c>
      <c r="D25" s="39">
        <f>J25+K25</f>
        <v>57.152343999999999</v>
      </c>
      <c r="E25" s="40" t="s">
        <v>47</v>
      </c>
      <c r="J25" s="41">
        <f>((4.5*3*0.8)+((4.5*3*0.8)-(0.51*0.51*3.14*2))+((4.5*3*0.4)-(0.51*0.51*3.14*2))+(2.2*3*0.4*2))</f>
        <v>29.013144</v>
      </c>
      <c r="K25" s="41">
        <f>((5.06*3.8*0.4)+(((3.8*3*0.4)*2)-((1*1*0.4)*2))+(((5.06*3*0.4)*2)-(0.2*0.2*0.4)))</f>
        <v>28.139199999999999</v>
      </c>
    </row>
    <row r="26">
      <c r="A26" s="29">
        <f t="shared" ref="A26:A27" si="1">A25+1</f>
        <v>12</v>
      </c>
      <c r="B26" s="30" t="s">
        <v>48</v>
      </c>
      <c r="C26" s="29" t="s">
        <v>49</v>
      </c>
      <c r="D26" s="29">
        <v>1</v>
      </c>
      <c r="E26" s="30" t="s">
        <v>50</v>
      </c>
    </row>
    <row r="27" ht="156">
      <c r="A27" s="29">
        <f t="shared" si="1"/>
        <v>13</v>
      </c>
      <c r="B27" s="30" t="s">
        <v>51</v>
      </c>
      <c r="C27" s="29" t="s">
        <v>31</v>
      </c>
      <c r="D27" s="29">
        <v>0.44</v>
      </c>
      <c r="E27" s="40" t="s">
        <v>52</v>
      </c>
    </row>
    <row r="28">
      <c r="A28" s="28" t="s">
        <v>53</v>
      </c>
      <c r="B28" s="28"/>
      <c r="C28" s="28"/>
      <c r="D28" s="28"/>
      <c r="E28" s="28"/>
      <c r="F28" s="42"/>
    </row>
    <row r="29" ht="60" outlineLevel="1">
      <c r="A29" s="29">
        <f>A27+1</f>
        <v>14</v>
      </c>
      <c r="B29" s="30" t="s">
        <v>54</v>
      </c>
      <c r="C29" s="29" t="s">
        <v>19</v>
      </c>
      <c r="D29" s="29">
        <f>ROUND((0.72*24)+(0.09*10),1)</f>
        <v>18.199999999999999</v>
      </c>
      <c r="E29" s="30" t="s">
        <v>55</v>
      </c>
      <c r="F29" s="42"/>
    </row>
    <row r="30" ht="144" outlineLevel="1">
      <c r="A30" s="29">
        <f t="shared" ref="A30:A35" si="2">A29+1</f>
        <v>15</v>
      </c>
      <c r="B30" s="30" t="s">
        <v>56</v>
      </c>
      <c r="C30" s="29" t="s">
        <v>57</v>
      </c>
      <c r="D30" s="43">
        <f>(39.04+37.56+1+0.95)+(4*1.932)</f>
        <v>86.277999999999992</v>
      </c>
      <c r="E30" s="30" t="s">
        <v>58</v>
      </c>
      <c r="J30" s="41"/>
      <c r="N30" s="41"/>
      <c r="P30" s="41"/>
    </row>
    <row r="31" ht="24" outlineLevel="1">
      <c r="A31" s="29">
        <f t="shared" si="2"/>
        <v>16</v>
      </c>
      <c r="B31" s="30" t="s">
        <v>59</v>
      </c>
      <c r="C31" s="29" t="s">
        <v>60</v>
      </c>
      <c r="D31" s="31">
        <f>ROUND(((0.82+(0.16/1.2))*3.14*(D30)),1)</f>
        <v>258.30000000000001</v>
      </c>
      <c r="E31" s="30"/>
      <c r="P31" s="41"/>
    </row>
    <row r="32" ht="84" outlineLevel="1">
      <c r="A32" s="29">
        <f t="shared" si="2"/>
        <v>17</v>
      </c>
      <c r="B32" s="30" t="s">
        <v>61</v>
      </c>
      <c r="C32" s="29" t="s">
        <v>31</v>
      </c>
      <c r="D32" s="36">
        <f>ROUND((10*0.04/2)+(4*0.1428/2),3)</f>
        <v>0.48599999999999999</v>
      </c>
      <c r="E32" s="30" t="s">
        <v>62</v>
      </c>
    </row>
    <row r="33" ht="48" outlineLevel="1">
      <c r="A33" s="29">
        <f t="shared" si="2"/>
        <v>18</v>
      </c>
      <c r="B33" s="30" t="s">
        <v>63</v>
      </c>
      <c r="C33" s="29" t="s">
        <v>57</v>
      </c>
      <c r="D33" s="44">
        <f>12+(2*0.325)+(2*0.234)</f>
        <v>13.118</v>
      </c>
      <c r="E33" s="30" t="s">
        <v>64</v>
      </c>
    </row>
    <row r="34" ht="12" customHeight="1" outlineLevel="1">
      <c r="A34" s="29">
        <f t="shared" si="2"/>
        <v>19</v>
      </c>
      <c r="B34" s="30" t="s">
        <v>65</v>
      </c>
      <c r="C34" s="29" t="s">
        <v>19</v>
      </c>
      <c r="D34" s="36">
        <f>(D32)*6</f>
        <v>2.9159999999999999</v>
      </c>
      <c r="E34" s="30"/>
    </row>
    <row r="35" outlineLevel="1">
      <c r="A35" s="29">
        <f t="shared" si="2"/>
        <v>20</v>
      </c>
      <c r="B35" s="30" t="s">
        <v>66</v>
      </c>
      <c r="C35" s="29" t="s">
        <v>67</v>
      </c>
      <c r="D35" s="36">
        <f>(D32)*2</f>
        <v>0.97199999999999998</v>
      </c>
      <c r="E35" s="30"/>
    </row>
    <row r="36">
      <c r="A36" s="28" t="s">
        <v>68</v>
      </c>
      <c r="B36" s="28"/>
      <c r="C36" s="28"/>
      <c r="D36" s="28"/>
      <c r="E36" s="28"/>
    </row>
    <row r="37" ht="48" outlineLevel="1">
      <c r="A37" s="29">
        <f>A35+1</f>
        <v>21</v>
      </c>
      <c r="B37" s="30" t="s">
        <v>69</v>
      </c>
      <c r="C37" s="29" t="s">
        <v>70</v>
      </c>
      <c r="D37" s="45">
        <f>ROUND((0.101*78.55)+(12*0.01),4)</f>
        <v>8.0535999999999994</v>
      </c>
      <c r="E37" s="30" t="s">
        <v>71</v>
      </c>
      <c r="F37" s="46"/>
    </row>
    <row r="38" ht="48" outlineLevel="1">
      <c r="A38" s="29">
        <f t="shared" ref="A38:A57" si="3">A37+1</f>
        <v>22</v>
      </c>
      <c r="B38" s="30" t="s">
        <v>72</v>
      </c>
      <c r="C38" s="29" t="s">
        <v>70</v>
      </c>
      <c r="D38" s="45">
        <f>D37</f>
        <v>8.0535999999999994</v>
      </c>
      <c r="E38" s="30" t="str">
        <f>E37</f>
        <v xml:space="preserve">Трубопроводы
Дн=820х5мм - 0,101тн*78,55м
Дн=108х4мм - 0,01тн*12м</v>
      </c>
      <c r="F38" s="46"/>
    </row>
    <row r="39" ht="48" outlineLevel="1">
      <c r="A39" s="29">
        <f t="shared" si="3"/>
        <v>23</v>
      </c>
      <c r="B39" s="30" t="s">
        <v>73</v>
      </c>
      <c r="C39" s="29" t="s">
        <v>70</v>
      </c>
      <c r="D39" s="45">
        <f>D37</f>
        <v>8.0535999999999994</v>
      </c>
      <c r="E39" s="30" t="str">
        <f>E37</f>
        <v xml:space="preserve">Трубопроводы
Дн=820х5мм - 0,101тн*78,55м
Дн=108х4мм - 0,01тн*12м</v>
      </c>
      <c r="F39" s="46"/>
    </row>
    <row r="40" ht="84" outlineLevel="1">
      <c r="A40" s="29">
        <f t="shared" si="3"/>
        <v>24</v>
      </c>
      <c r="B40" s="30" t="s">
        <v>74</v>
      </c>
      <c r="C40" s="29" t="s">
        <v>70</v>
      </c>
      <c r="D40" s="44">
        <f>(48*1.8)+(10*0.23)+1.77+(2*3)+(2*3.975)+(3.5)</f>
        <v>107.92</v>
      </c>
      <c r="E40" s="30" t="s">
        <v>75</v>
      </c>
      <c r="F40" s="47"/>
    </row>
    <row r="41" ht="84" outlineLevel="1">
      <c r="A41" s="29">
        <f t="shared" si="3"/>
        <v>25</v>
      </c>
      <c r="B41" s="30" t="s">
        <v>76</v>
      </c>
      <c r="C41" s="29" t="s">
        <v>70</v>
      </c>
      <c r="D41" s="44">
        <f>D40</f>
        <v>107.92</v>
      </c>
      <c r="E41" s="30" t="str">
        <f>E40</f>
        <v xml:space="preserve">Лоток Л11-8 (1,8тн; 0,72 м3) - 48 шт
Опорная подушка ОП-7 (0,23тн; 0,09 м3) - 10шт
Балка Б7 - 1 шт (0,71м3, 1,77тн)
Плиты
ПТ 42.15-8АIII-ЛК - 2шт (1,2м3;  3,0тн)
ПТ 54.15-8АIII-ЛК - 2шт (1,59м3;  3,975тн)
ПТ 54.12 - 1шт (1,4м3;  3,5тн)</v>
      </c>
      <c r="F41" s="47"/>
    </row>
    <row r="42" ht="36" outlineLevel="1">
      <c r="A42" s="29">
        <f t="shared" si="3"/>
        <v>26</v>
      </c>
      <c r="B42" s="30" t="s">
        <v>77</v>
      </c>
      <c r="C42" s="29" t="s">
        <v>70</v>
      </c>
      <c r="D42" s="44">
        <f>(D25*2.5)</f>
        <v>142.88085999999998</v>
      </c>
      <c r="E42" s="30" t="s">
        <v>78</v>
      </c>
      <c r="F42" s="47"/>
    </row>
    <row r="43" ht="84" outlineLevel="1">
      <c r="A43" s="29">
        <f t="shared" si="3"/>
        <v>27</v>
      </c>
      <c r="B43" s="30" t="s">
        <v>79</v>
      </c>
      <c r="C43" s="29" t="s">
        <v>70</v>
      </c>
      <c r="D43" s="44">
        <f>D42</f>
        <v>142.88085999999998</v>
      </c>
      <c r="E43" s="30" t="str">
        <f>E42</f>
        <v xml:space="preserve">ТК-327.15
ТК-327.15А</v>
      </c>
      <c r="F43" s="47"/>
    </row>
    <row r="44" ht="48" outlineLevel="1">
      <c r="A44" s="29">
        <f t="shared" si="3"/>
        <v>28</v>
      </c>
      <c r="B44" s="30" t="s">
        <v>80</v>
      </c>
      <c r="C44" s="29" t="s">
        <v>70</v>
      </c>
      <c r="D44" s="36">
        <f>ROUND((D30)*PI()*(0.82+0.08/1.2)*0.08/1.2*75/1000,3)</f>
        <v>1.202</v>
      </c>
      <c r="E44" s="30"/>
      <c r="F44" s="46"/>
    </row>
    <row r="45" ht="60" outlineLevel="1">
      <c r="A45" s="29">
        <f t="shared" si="3"/>
        <v>29</v>
      </c>
      <c r="B45" s="30" t="s">
        <v>81</v>
      </c>
      <c r="C45" s="29" t="s">
        <v>70</v>
      </c>
      <c r="D45" s="36">
        <f>D44</f>
        <v>1.202</v>
      </c>
      <c r="E45" s="30"/>
      <c r="F45" s="46"/>
    </row>
    <row r="46" ht="24" outlineLevel="1">
      <c r="A46" s="29">
        <f t="shared" si="3"/>
        <v>30</v>
      </c>
      <c r="B46" s="30" t="s">
        <v>82</v>
      </c>
      <c r="C46" s="29" t="s">
        <v>70</v>
      </c>
      <c r="D46" s="36">
        <f>1.188+142.88+107.92</f>
        <v>251.988</v>
      </c>
      <c r="E46" s="30"/>
    </row>
    <row r="47" ht="84" outlineLevel="1">
      <c r="A47" s="29">
        <f t="shared" si="3"/>
        <v>31</v>
      </c>
      <c r="B47" s="30" t="s">
        <v>83</v>
      </c>
      <c r="C47" s="29" t="s">
        <v>70</v>
      </c>
      <c r="D47" s="36">
        <f>ROUND((10*0.069/2)+(0.249*4)+(4*(0.1428/2)),3)</f>
        <v>1.627</v>
      </c>
      <c r="E47" s="30" t="s">
        <v>84</v>
      </c>
      <c r="F47" s="47"/>
    </row>
    <row r="48" ht="84" outlineLevel="1">
      <c r="A48" s="29">
        <f t="shared" si="3"/>
        <v>32</v>
      </c>
      <c r="B48" s="30" t="s">
        <v>85</v>
      </c>
      <c r="C48" s="29" t="s">
        <v>70</v>
      </c>
      <c r="D48" s="36">
        <f>D47</f>
        <v>1.627</v>
      </c>
      <c r="E48" s="30" t="str">
        <f>E47</f>
        <v xml:space="preserve">Скользящие опоры ТС-624.000-057 10шт*0,069тн/2
Заглушки ТС-596.000-13
Ду=800мм - 0,249тн*4шт
Опора неподвижная ТС-664.00-04
НО Ду 800 - 4 шт *0,1428тн/2</v>
      </c>
      <c r="F48" s="47"/>
    </row>
    <row r="49" ht="84" outlineLevel="1">
      <c r="A49" s="29">
        <f t="shared" si="3"/>
        <v>33</v>
      </c>
      <c r="B49" s="30" t="s">
        <v>86</v>
      </c>
      <c r="C49" s="29" t="s">
        <v>70</v>
      </c>
      <c r="D49" s="36">
        <f>ROUND((4*0.231)+(2*0.003)+(2*(0.0083/2)),3)</f>
        <v>0.93800000000000006</v>
      </c>
      <c r="E49" s="30" t="s">
        <v>87</v>
      </c>
      <c r="F49" s="47"/>
    </row>
    <row r="50" ht="84" outlineLevel="1">
      <c r="A50" s="29">
        <f t="shared" si="3"/>
        <v>34</v>
      </c>
      <c r="B50" s="30" t="s">
        <v>88</v>
      </c>
      <c r="C50" s="29" t="s">
        <v>70</v>
      </c>
      <c r="D50" s="36">
        <f>D49</f>
        <v>0.93800000000000006</v>
      </c>
      <c r="E50" s="30" t="str">
        <f>E49</f>
        <v xml:space="preserve">Отводы 90гр.
Дн=820х6мм - 4шт*0,231тн
Дн=108х5мм - 2шт*0,003тн
Краны
Ду100 - 2шт*0,0083/2=83 кг</v>
      </c>
      <c r="F50" s="47"/>
    </row>
    <row r="51" ht="168" outlineLevel="1">
      <c r="A51" s="29">
        <f t="shared" si="3"/>
        <v>35</v>
      </c>
      <c r="B51" s="30" t="s">
        <v>89</v>
      </c>
      <c r="C51" s="29" t="s">
        <v>70</v>
      </c>
      <c r="D51" s="36">
        <f>D47+D49</f>
        <v>2.5649999999999999</v>
      </c>
      <c r="E51" s="30" t="s">
        <v>90</v>
      </c>
      <c r="F51" s="37"/>
    </row>
    <row r="52" ht="132" outlineLevel="1">
      <c r="A52" s="29">
        <f t="shared" si="3"/>
        <v>36</v>
      </c>
      <c r="B52" s="30" t="s">
        <v>91</v>
      </c>
      <c r="C52" s="29" t="s">
        <v>70</v>
      </c>
      <c r="D52" s="45">
        <f>ROUND((4*0.863)+(2*0.0777)+(2*0.335)+(4*0.1566)+1.114,3)</f>
        <v>6.0179999999999998</v>
      </c>
      <c r="E52" s="30" t="s">
        <v>92</v>
      </c>
      <c r="F52" s="37"/>
    </row>
    <row r="53" ht="132" outlineLevel="1">
      <c r="A53" s="29">
        <f t="shared" si="3"/>
        <v>37</v>
      </c>
      <c r="B53" s="30" t="s">
        <v>93</v>
      </c>
      <c r="C53" s="29" t="s">
        <v>70</v>
      </c>
      <c r="D53" s="45">
        <f>D52</f>
        <v>6.0179999999999998</v>
      </c>
      <c r="E53" s="30" t="s">
        <v>94</v>
      </c>
      <c r="F53" s="37"/>
    </row>
    <row r="54" ht="48" outlineLevel="1">
      <c r="A54" s="29">
        <f t="shared" si="3"/>
        <v>38</v>
      </c>
      <c r="B54" s="30" t="s">
        <v>95</v>
      </c>
      <c r="C54" s="29" t="s">
        <v>70</v>
      </c>
      <c r="D54" s="45">
        <f>ROUND((75.95*0.301)+(12*0.0777),3)</f>
        <v>23.792999999999999</v>
      </c>
      <c r="E54" s="30" t="s">
        <v>96</v>
      </c>
      <c r="F54" s="47"/>
    </row>
    <row r="55" ht="48" outlineLevel="1">
      <c r="A55" s="29">
        <f t="shared" si="3"/>
        <v>39</v>
      </c>
      <c r="B55" s="30" t="s">
        <v>97</v>
      </c>
      <c r="C55" s="29" t="s">
        <v>70</v>
      </c>
      <c r="D55" s="45">
        <f>D54</f>
        <v>23.792999999999999</v>
      </c>
      <c r="E55" s="30" t="str">
        <f>E54</f>
        <v xml:space="preserve">Трубопроводы
Дн=1020х12мм - 0,301тн*75,95м
Дн=325х10мм - 0,0777тн*12м</v>
      </c>
      <c r="F55" s="47"/>
    </row>
    <row r="56" ht="60" outlineLevel="1">
      <c r="A56" s="29">
        <f t="shared" si="3"/>
        <v>40</v>
      </c>
      <c r="B56" s="30" t="s">
        <v>98</v>
      </c>
      <c r="C56" s="29" t="s">
        <v>70</v>
      </c>
      <c r="D56" s="43">
        <f>ROUND((4.725*1)+(2.38*1)+(22*2.48)+(22*3.75)+(10*0.65),3)</f>
        <v>150.66499999999999</v>
      </c>
      <c r="E56" s="30" t="s">
        <v>99</v>
      </c>
      <c r="F56" s="47"/>
      <c r="G56" s="37"/>
      <c r="H56" s="47"/>
      <c r="I56" s="47"/>
      <c r="J56" s="47"/>
    </row>
    <row r="57" ht="60" outlineLevel="1">
      <c r="A57" s="29">
        <f t="shared" si="3"/>
        <v>41</v>
      </c>
      <c r="B57" s="30" t="s">
        <v>100</v>
      </c>
      <c r="C57" s="29" t="s">
        <v>70</v>
      </c>
      <c r="D57" s="43">
        <f>D56</f>
        <v>150.66499999999999</v>
      </c>
      <c r="E57" s="30" t="str">
        <f>E56</f>
        <v xml:space="preserve">Плиты ПТ 63.15-8 ЛК - 1шт (4,725тн; 1,89м3)
Плиты ПТ 63.07 - 1шт (2,38тн; 0,95м3)
Лотки Л15-11 - 24шт (2,48тн; 0,99м3)
Лотки Л17-11 - 24шт (3,75тн; 1,5м3)
опорные подушки ОП-8 - 10шт (0,65тн; 0,26м3)</v>
      </c>
      <c r="F57" s="47"/>
      <c r="G57" s="37"/>
      <c r="H57" s="47"/>
      <c r="I57" s="47"/>
      <c r="J57" s="47"/>
    </row>
    <row r="58">
      <c r="A58" s="28" t="s">
        <v>101</v>
      </c>
      <c r="B58" s="28"/>
      <c r="C58" s="28"/>
      <c r="D58" s="28"/>
      <c r="E58" s="28"/>
    </row>
    <row r="59" ht="24" outlineLevel="1">
      <c r="A59" s="29">
        <f>A57+1</f>
        <v>42</v>
      </c>
      <c r="B59" s="30" t="s">
        <v>102</v>
      </c>
      <c r="C59" s="29" t="s">
        <v>103</v>
      </c>
      <c r="D59" s="31">
        <f>ROUND(((3.68+0.2)*0.1*27),1)</f>
        <v>10.5</v>
      </c>
      <c r="E59" s="30" t="s">
        <v>104</v>
      </c>
      <c r="F59" s="42"/>
    </row>
    <row r="60" ht="48" outlineLevel="1">
      <c r="A60" s="29">
        <f t="shared" ref="A60:A63" si="4">A59+1</f>
        <v>43</v>
      </c>
      <c r="B60" s="30" t="s">
        <v>105</v>
      </c>
      <c r="C60" s="29" t="s">
        <v>106</v>
      </c>
      <c r="D60" s="48">
        <f>ROUND((0.99*22)+(1.5*22)+(0.26*10),1)</f>
        <v>57.400000000000006</v>
      </c>
      <c r="E60" s="30" t="s">
        <v>107</v>
      </c>
      <c r="F60" s="42"/>
    </row>
    <row r="61" ht="24" outlineLevel="1">
      <c r="A61" s="29">
        <f t="shared" si="4"/>
        <v>44</v>
      </c>
      <c r="B61" s="30" t="s">
        <v>108</v>
      </c>
      <c r="C61" s="29" t="s">
        <v>19</v>
      </c>
      <c r="D61" s="29">
        <f>ROUND((((1.6*2)+(0.6*4)+(2.05*2)+2.96)*22)*0.002,2)</f>
        <v>0.56000000000000005</v>
      </c>
      <c r="E61" s="30"/>
      <c r="F61" s="42"/>
    </row>
    <row r="62" ht="24" outlineLevel="1">
      <c r="A62" s="29">
        <f t="shared" si="4"/>
        <v>45</v>
      </c>
      <c r="B62" s="30" t="s">
        <v>109</v>
      </c>
      <c r="C62" s="29" t="s">
        <v>110</v>
      </c>
      <c r="D62" s="36">
        <f>ROUND(88*0.0029,3)</f>
        <v>0.255</v>
      </c>
      <c r="E62" s="30"/>
      <c r="F62" s="42"/>
    </row>
    <row r="63" ht="24" outlineLevel="1">
      <c r="A63" s="29">
        <f t="shared" si="4"/>
        <v>46</v>
      </c>
      <c r="B63" s="30" t="s">
        <v>111</v>
      </c>
      <c r="C63" s="29" t="s">
        <v>112</v>
      </c>
      <c r="D63" s="31">
        <f>((2.96*3)+(2.05*4)+(1.84*4))*0.25*22</f>
        <v>134.41999999999999</v>
      </c>
      <c r="E63" s="30"/>
      <c r="F63" s="35"/>
    </row>
    <row r="64">
      <c r="A64" s="28" t="s">
        <v>16</v>
      </c>
      <c r="B64" s="28"/>
      <c r="C64" s="28"/>
      <c r="D64" s="28"/>
      <c r="E64" s="28"/>
    </row>
    <row r="65" ht="25.5">
      <c r="A65" s="29">
        <f>A63+1</f>
        <v>47</v>
      </c>
      <c r="B65" s="30" t="s">
        <v>113</v>
      </c>
      <c r="C65" s="29" t="s">
        <v>19</v>
      </c>
      <c r="D65" s="44">
        <f>ROUND(7.4*8.6*0.15,2)</f>
        <v>9.5500000000000007</v>
      </c>
      <c r="E65" s="30"/>
    </row>
    <row r="66" ht="25.5">
      <c r="A66" s="29">
        <f t="shared" ref="A66:A70" si="5">A65+1</f>
        <v>48</v>
      </c>
      <c r="B66" s="30" t="s">
        <v>114</v>
      </c>
      <c r="C66" s="29" t="s">
        <v>19</v>
      </c>
      <c r="D66" s="44">
        <f>ROUND(7.4*8.6*0.1,2)</f>
        <v>6.3600000000000003</v>
      </c>
      <c r="E66" s="30"/>
    </row>
    <row r="67" ht="191.25">
      <c r="A67" s="29">
        <f t="shared" si="5"/>
        <v>49</v>
      </c>
      <c r="B67" s="30" t="s">
        <v>115</v>
      </c>
      <c r="C67" s="29" t="s">
        <v>19</v>
      </c>
      <c r="D67" s="29">
        <f>161.21+1.89+0.95</f>
        <v>164.04999999999998</v>
      </c>
      <c r="E67" s="30" t="s">
        <v>116</v>
      </c>
      <c r="I67" s="49"/>
    </row>
    <row r="68" ht="63.75">
      <c r="A68" s="29">
        <f t="shared" si="5"/>
        <v>50</v>
      </c>
      <c r="B68" s="30" t="s">
        <v>117</v>
      </c>
      <c r="C68" s="29" t="s">
        <v>31</v>
      </c>
      <c r="D68" s="44">
        <v>0.11</v>
      </c>
      <c r="E68" s="30" t="s">
        <v>118</v>
      </c>
      <c r="I68" s="49"/>
    </row>
    <row r="69" ht="63.75">
      <c r="A69" s="29">
        <f t="shared" si="5"/>
        <v>51</v>
      </c>
      <c r="B69" s="30" t="s">
        <v>119</v>
      </c>
      <c r="C69" s="29" t="s">
        <v>31</v>
      </c>
      <c r="D69" s="44">
        <f>D68</f>
        <v>0.11</v>
      </c>
      <c r="E69" s="30" t="str">
        <f>E68</f>
        <v xml:space="preserve">Сталь угловая: 75х75х6 мм - 0,042тн*2шт; Горячекатаная арматурная сталь гладкая класса А-I, диаметром: 18 мм - 0,011тн*2шт; Сталь листовая углеродистая обыкновенного качества марки ВСт3пс5 толщиной: 6 мм - 0,001тн*2шт
Вес наплавленного металла - 0,001тн*2шт</v>
      </c>
      <c r="I69" s="49"/>
    </row>
    <row r="70" ht="25.5">
      <c r="A70" s="29">
        <f t="shared" si="5"/>
        <v>52</v>
      </c>
      <c r="B70" s="30" t="s">
        <v>120</v>
      </c>
      <c r="C70" s="29" t="s">
        <v>29</v>
      </c>
      <c r="D70" s="29">
        <f>2.7675*2</f>
        <v>5.5350000000000001</v>
      </c>
      <c r="E70" s="30"/>
    </row>
    <row r="71">
      <c r="A71" s="28" t="s">
        <v>17</v>
      </c>
      <c r="B71" s="28"/>
      <c r="C71" s="28"/>
      <c r="D71" s="28"/>
      <c r="E71" s="28"/>
    </row>
    <row r="72" ht="25.5">
      <c r="A72" s="50">
        <f>A70+1</f>
        <v>53</v>
      </c>
      <c r="B72" s="30" t="s">
        <v>113</v>
      </c>
      <c r="C72" s="29" t="s">
        <v>19</v>
      </c>
      <c r="D72" s="51">
        <f>6*6*0.15</f>
        <v>5.3999999999999995</v>
      </c>
      <c r="E72" s="40"/>
    </row>
    <row r="73" ht="25.5">
      <c r="A73" s="50">
        <f t="shared" ref="A73:A77" si="6">A72+1</f>
        <v>54</v>
      </c>
      <c r="B73" s="30" t="s">
        <v>114</v>
      </c>
      <c r="C73" s="29" t="s">
        <v>19</v>
      </c>
      <c r="D73" s="51">
        <f>6*6*0.1</f>
        <v>3.6000000000000001</v>
      </c>
      <c r="E73" s="40"/>
      <c r="K73" s="1">
        <f>12</f>
        <v>12</v>
      </c>
      <c r="M73" s="1">
        <v>8</v>
      </c>
    </row>
    <row r="74" ht="153">
      <c r="A74" s="50">
        <f t="shared" si="6"/>
        <v>55</v>
      </c>
      <c r="B74" s="30" t="s">
        <v>115</v>
      </c>
      <c r="C74" s="29" t="s">
        <v>19</v>
      </c>
      <c r="D74" s="51">
        <f>((5.8*5.8*0.4)+((3.3*5.8*0.4)-(1.3*1.3*0.4))+(5.8*3.3*0.4*3)-(0.2*0.2*0.4))+0.57*2+0.96*2+0.77*2+0.65</f>
        <v>48.637999999999998</v>
      </c>
      <c r="E74" s="40" t="s">
        <v>121</v>
      </c>
      <c r="K74" s="1">
        <f>(5.11*60*2)+((30*2.89+5.11*15)*8)</f>
        <v>1920.0000000000002</v>
      </c>
      <c r="M74" s="1">
        <f>(((29*29)/2)+((29*15)*4))*0.35*0.395</f>
        <v>298.68912499999999</v>
      </c>
    </row>
    <row r="75" ht="63.75">
      <c r="A75" s="29">
        <f t="shared" si="6"/>
        <v>56</v>
      </c>
      <c r="B75" s="30" t="s">
        <v>117</v>
      </c>
      <c r="C75" s="29" t="s">
        <v>31</v>
      </c>
      <c r="D75" s="44">
        <v>0.22</v>
      </c>
      <c r="E75" s="30" t="s">
        <v>122</v>
      </c>
    </row>
    <row r="76" ht="63.75">
      <c r="A76" s="29">
        <f t="shared" si="6"/>
        <v>57</v>
      </c>
      <c r="B76" s="30" t="s">
        <v>119</v>
      </c>
      <c r="C76" s="29" t="s">
        <v>31</v>
      </c>
      <c r="D76" s="44">
        <f>D75</f>
        <v>0.22</v>
      </c>
      <c r="E76" s="30" t="str">
        <f>E75</f>
        <v xml:space="preserve">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</v>
      </c>
    </row>
    <row r="77" ht="25.5">
      <c r="A77" s="29">
        <f t="shared" si="6"/>
        <v>58</v>
      </c>
      <c r="B77" s="30" t="s">
        <v>120</v>
      </c>
      <c r="C77" s="29" t="s">
        <v>29</v>
      </c>
      <c r="D77" s="29">
        <f>2.7675*4</f>
        <v>11.07</v>
      </c>
      <c r="E77" s="30"/>
    </row>
    <row r="78">
      <c r="A78" s="28" t="s">
        <v>123</v>
      </c>
      <c r="B78" s="28"/>
      <c r="C78" s="28"/>
      <c r="D78" s="28"/>
      <c r="E78" s="28"/>
    </row>
    <row r="79" ht="191.25" outlineLevel="1">
      <c r="A79" s="38">
        <f>A77+1</f>
        <v>59</v>
      </c>
      <c r="B79" s="30" t="s">
        <v>124</v>
      </c>
      <c r="C79" s="29" t="s">
        <v>57</v>
      </c>
      <c r="D79" s="43">
        <f>ROUND(75.95+(4*2.12)+(4*0.457),1)</f>
        <v>86.300000000000011</v>
      </c>
      <c r="E79" s="30" t="s">
        <v>125</v>
      </c>
    </row>
    <row r="80" ht="38.25" outlineLevel="1">
      <c r="A80" s="38">
        <f t="shared" ref="A80:A84" si="7">A79+1</f>
        <v>60</v>
      </c>
      <c r="B80" s="30" t="s">
        <v>126</v>
      </c>
      <c r="C80" s="29" t="s">
        <v>110</v>
      </c>
      <c r="D80" s="52">
        <f>10*0.069+0.2622*8</f>
        <v>2.7875999999999999</v>
      </c>
      <c r="E80" s="30" t="s">
        <v>127</v>
      </c>
    </row>
    <row r="81" ht="25.5" outlineLevel="1">
      <c r="A81" s="38">
        <f t="shared" si="7"/>
        <v>61</v>
      </c>
      <c r="B81" s="30" t="s">
        <v>128</v>
      </c>
      <c r="C81" s="29" t="s">
        <v>129</v>
      </c>
      <c r="D81" s="36">
        <f>ROUND(4*0.249,3)</f>
        <v>0.996</v>
      </c>
      <c r="E81" s="30" t="s">
        <v>130</v>
      </c>
    </row>
    <row r="82" ht="76.5" outlineLevel="1">
      <c r="A82" s="38">
        <f t="shared" si="7"/>
        <v>62</v>
      </c>
      <c r="B82" s="30" t="s">
        <v>131</v>
      </c>
      <c r="C82" s="29" t="s">
        <v>57</v>
      </c>
      <c r="D82" s="53">
        <f>ROUND(12+2*0.707,1)</f>
        <v>13.4</v>
      </c>
      <c r="E82" s="40" t="s">
        <v>132</v>
      </c>
    </row>
    <row r="83" ht="25.5" outlineLevel="1">
      <c r="A83" s="38">
        <f t="shared" si="7"/>
        <v>63</v>
      </c>
      <c r="B83" s="30" t="s">
        <v>133</v>
      </c>
      <c r="C83" s="29" t="s">
        <v>49</v>
      </c>
      <c r="D83" s="53">
        <v>2</v>
      </c>
      <c r="E83" s="40" t="s">
        <v>134</v>
      </c>
    </row>
    <row r="84" ht="25.5" outlineLevel="1">
      <c r="A84" s="38">
        <f t="shared" si="7"/>
        <v>64</v>
      </c>
      <c r="B84" s="30" t="s">
        <v>135</v>
      </c>
      <c r="C84" s="29" t="s">
        <v>57</v>
      </c>
      <c r="D84" s="53">
        <v>10</v>
      </c>
      <c r="E84" s="40" t="s">
        <v>136</v>
      </c>
    </row>
    <row r="85">
      <c r="A85" s="28" t="s">
        <v>137</v>
      </c>
      <c r="B85" s="28"/>
      <c r="C85" s="28"/>
      <c r="D85" s="28"/>
      <c r="E85" s="28"/>
    </row>
    <row r="86" ht="38.25" outlineLevel="1">
      <c r="A86" s="38">
        <f>A84+1</f>
        <v>65</v>
      </c>
      <c r="B86" s="30" t="s">
        <v>138</v>
      </c>
      <c r="C86" s="29" t="s">
        <v>139</v>
      </c>
      <c r="D86" s="29">
        <v>16</v>
      </c>
      <c r="E86" s="30"/>
    </row>
    <row r="87" ht="38.25" outlineLevel="1">
      <c r="A87" s="38">
        <f t="shared" ref="A87:A88" si="8">A86+1</f>
        <v>66</v>
      </c>
      <c r="B87" s="30" t="s">
        <v>140</v>
      </c>
      <c r="C87" s="29" t="s">
        <v>139</v>
      </c>
      <c r="D87" s="54">
        <v>12</v>
      </c>
      <c r="E87" s="30"/>
    </row>
    <row r="88" ht="25.5" outlineLevel="1">
      <c r="A88" s="38">
        <f t="shared" si="8"/>
        <v>67</v>
      </c>
      <c r="B88" s="30" t="s">
        <v>141</v>
      </c>
      <c r="C88" s="29" t="s">
        <v>49</v>
      </c>
      <c r="D88" s="29">
        <v>4</v>
      </c>
      <c r="E88" s="30"/>
    </row>
    <row r="89">
      <c r="A89" s="28" t="s">
        <v>142</v>
      </c>
      <c r="B89" s="28"/>
      <c r="C89" s="28"/>
      <c r="D89" s="28"/>
      <c r="E89" s="28"/>
    </row>
    <row r="90">
      <c r="A90" s="28" t="s">
        <v>143</v>
      </c>
      <c r="B90" s="28"/>
      <c r="C90" s="28"/>
      <c r="D90" s="28"/>
      <c r="E90" s="28"/>
      <c r="F90" s="42"/>
    </row>
    <row r="91" ht="38.25" outlineLevel="1">
      <c r="A91" s="38">
        <f>A88+1</f>
        <v>68</v>
      </c>
      <c r="B91" s="30" t="s">
        <v>144</v>
      </c>
      <c r="C91" s="29" t="s">
        <v>145</v>
      </c>
      <c r="D91" s="44">
        <f>ROUND(1.02*PI()*0.2*D86,2)</f>
        <v>10.25</v>
      </c>
      <c r="E91" s="30"/>
      <c r="F91" s="35"/>
    </row>
    <row r="92" ht="102" outlineLevel="1">
      <c r="A92" s="38">
        <f t="shared" ref="A92:A97" si="9">A91+1</f>
        <v>69</v>
      </c>
      <c r="B92" s="30" t="s">
        <v>146</v>
      </c>
      <c r="C92" s="29" t="s">
        <v>147</v>
      </c>
      <c r="D92" s="31">
        <f>ROUND(1.02*PI()*(D79),1)</f>
        <v>276.5</v>
      </c>
      <c r="E92" s="30"/>
      <c r="F92" s="35"/>
    </row>
    <row r="93" ht="127.5" outlineLevel="1">
      <c r="A93" s="38">
        <f t="shared" si="9"/>
        <v>70</v>
      </c>
      <c r="B93" s="30" t="s">
        <v>148</v>
      </c>
      <c r="C93" s="29" t="s">
        <v>149</v>
      </c>
      <c r="D93" s="31">
        <f>ROUND((1.02+(0.1/1))*(0.1/1)*(D79)*PI(),1)</f>
        <v>30.400000000000002</v>
      </c>
      <c r="E93" s="30"/>
      <c r="F93" s="32"/>
      <c r="G93" s="32"/>
      <c r="H93" s="32"/>
      <c r="I93" s="32"/>
      <c r="J93" s="32"/>
    </row>
    <row r="94" ht="63.75" outlineLevel="1">
      <c r="A94" s="38">
        <f t="shared" si="9"/>
        <v>71</v>
      </c>
      <c r="B94" s="30" t="s">
        <v>150</v>
      </c>
      <c r="C94" s="29" t="s">
        <v>151</v>
      </c>
      <c r="D94" s="31">
        <f>ROUND((1.02+(0.16/1))*PI()*(D79),1)</f>
        <v>319.90000000000003</v>
      </c>
      <c r="E94" s="30"/>
      <c r="F94" s="55"/>
      <c r="G94" s="55"/>
      <c r="H94" s="55"/>
      <c r="I94" s="55"/>
      <c r="J94" s="55"/>
    </row>
    <row r="95" ht="63.75" outlineLevel="1">
      <c r="A95" s="56">
        <f t="shared" si="9"/>
        <v>72</v>
      </c>
      <c r="B95" s="57" t="s">
        <v>152</v>
      </c>
      <c r="C95" s="58" t="str">
        <f>C94</f>
        <v xml:space="preserve">м2 поверхности покрытия изоляции</v>
      </c>
      <c r="D95" s="31">
        <f>ROUND((1.02+(0.16/1))*PI()*(D79),1)</f>
        <v>319.90000000000003</v>
      </c>
      <c r="E95" s="30"/>
      <c r="F95" s="55"/>
      <c r="G95" s="55"/>
      <c r="H95" s="55"/>
      <c r="I95" s="55"/>
      <c r="J95" s="55"/>
    </row>
    <row r="96" ht="89.25" outlineLevel="1">
      <c r="A96" s="38">
        <f t="shared" si="9"/>
        <v>73</v>
      </c>
      <c r="B96" s="30" t="s">
        <v>153</v>
      </c>
      <c r="C96" s="29" t="s">
        <v>31</v>
      </c>
      <c r="D96" s="36">
        <f>((((1.02+(0.16/1))*PI())+0.1)*((D79)*4+6*2))*0.02*6.2/1000</f>
        <v>0.16862620340256795</v>
      </c>
      <c r="E96" s="30"/>
      <c r="F96" s="55"/>
      <c r="G96" s="55"/>
      <c r="H96" s="55"/>
      <c r="I96" s="55"/>
      <c r="J96" s="55"/>
    </row>
    <row r="97" ht="25.5" outlineLevel="1">
      <c r="A97" s="38">
        <f t="shared" si="9"/>
        <v>74</v>
      </c>
      <c r="B97" s="30" t="s">
        <v>154</v>
      </c>
      <c r="C97" s="29" t="s">
        <v>31</v>
      </c>
      <c r="D97" s="36">
        <f>(((1.02+(0.16/1))*PI())+0.1)*(D79)*7*0.0312/1000</f>
        <v>0.071755526668788802</v>
      </c>
      <c r="E97" s="30"/>
      <c r="F97" s="55"/>
      <c r="G97" s="55"/>
      <c r="H97" s="55"/>
      <c r="I97" s="55"/>
      <c r="J97" s="55"/>
    </row>
    <row r="98">
      <c r="A98" s="28" t="s">
        <v>155</v>
      </c>
      <c r="B98" s="28"/>
      <c r="C98" s="28"/>
      <c r="D98" s="28"/>
      <c r="E98" s="28"/>
    </row>
    <row r="99">
      <c r="A99" s="28" t="s">
        <v>156</v>
      </c>
      <c r="B99" s="28"/>
      <c r="C99" s="28"/>
      <c r="D99" s="28"/>
      <c r="E99" s="28"/>
      <c r="F99" s="35"/>
    </row>
    <row r="100" ht="38.25" outlineLevel="1">
      <c r="A100" s="38">
        <f>A97+1</f>
        <v>75</v>
      </c>
      <c r="B100" s="30" t="s">
        <v>157</v>
      </c>
      <c r="C100" s="29" t="s">
        <v>158</v>
      </c>
      <c r="D100" s="59">
        <f>(K101+K102+L13+M13)-(1.68*D108)-(D106*0.37)</f>
        <v>1453.4286650000001</v>
      </c>
      <c r="E100" s="30"/>
      <c r="F100" s="32"/>
      <c r="G100" s="60"/>
      <c r="H100" s="60"/>
      <c r="I100" s="60"/>
      <c r="J100" s="60"/>
      <c r="K100" s="1" t="s">
        <v>15</v>
      </c>
    </row>
    <row r="101" ht="25.5" outlineLevel="1">
      <c r="A101" s="38">
        <f t="shared" ref="A101:A103" si="10">A100+1</f>
        <v>76</v>
      </c>
      <c r="B101" s="30" t="s">
        <v>159</v>
      </c>
      <c r="C101" s="29" t="s">
        <v>158</v>
      </c>
      <c r="D101" s="59">
        <f>ROUND(D100*0.03/0.97,1)</f>
        <v>45</v>
      </c>
      <c r="E101" s="30"/>
      <c r="F101" s="35"/>
      <c r="K101" s="1">
        <f>(((((5.7+8.3)/2)*2.6)*26-(1.84*2*2.05*26))*0.97)</f>
        <v>268.74432000000002</v>
      </c>
    </row>
    <row r="102" outlineLevel="1">
      <c r="A102" s="38">
        <f t="shared" si="10"/>
        <v>77</v>
      </c>
      <c r="B102" s="30" t="s">
        <v>160</v>
      </c>
      <c r="C102" s="29" t="s">
        <v>19</v>
      </c>
      <c r="D102" s="59">
        <f>D100</f>
        <v>1453.4286650000001</v>
      </c>
      <c r="E102" s="30"/>
      <c r="F102" s="35"/>
      <c r="K102" s="1">
        <f>(((((5.7+8.3)/2)*2.6)*26-(1.84*2*2.05*26))*0.03)</f>
        <v>8.3116800000000008</v>
      </c>
    </row>
    <row r="103" ht="38.25" outlineLevel="1">
      <c r="A103" s="38">
        <f t="shared" si="10"/>
        <v>78</v>
      </c>
      <c r="B103" s="30" t="s">
        <v>161</v>
      </c>
      <c r="C103" s="29" t="s">
        <v>19</v>
      </c>
      <c r="D103" s="59">
        <f>D100</f>
        <v>1453.4286650000001</v>
      </c>
      <c r="E103" s="30"/>
    </row>
    <row r="104">
      <c r="A104" s="28" t="s">
        <v>162</v>
      </c>
      <c r="B104" s="28"/>
      <c r="C104" s="28"/>
      <c r="D104" s="28"/>
      <c r="E104" s="28"/>
      <c r="F104" s="42"/>
    </row>
    <row r="105" ht="38.25" outlineLevel="1">
      <c r="A105" s="38">
        <f>A103+1</f>
        <v>79</v>
      </c>
      <c r="B105" s="30" t="s">
        <v>163</v>
      </c>
      <c r="C105" s="29" t="s">
        <v>164</v>
      </c>
      <c r="D105" s="59">
        <f>D106*0.25</f>
        <v>47</v>
      </c>
      <c r="E105" s="30"/>
      <c r="F105" s="42"/>
    </row>
    <row r="106" ht="89.25" outlineLevel="1">
      <c r="A106" s="29">
        <f t="shared" ref="A106:A113" si="11">A105+1</f>
        <v>80</v>
      </c>
      <c r="B106" s="30" t="s">
        <v>165</v>
      </c>
      <c r="C106" s="29" t="s">
        <v>166</v>
      </c>
      <c r="D106" s="59">
        <v>188</v>
      </c>
      <c r="E106" s="30" t="s">
        <v>167</v>
      </c>
      <c r="F106" s="61"/>
      <c r="G106" s="62"/>
      <c r="H106" s="62"/>
      <c r="I106" s="62"/>
      <c r="J106" s="62"/>
    </row>
    <row r="107" ht="89.25" outlineLevel="1">
      <c r="A107" s="29">
        <f t="shared" si="11"/>
        <v>81</v>
      </c>
      <c r="B107" s="30" t="s">
        <v>168</v>
      </c>
      <c r="C107" s="29" t="s">
        <v>166</v>
      </c>
      <c r="D107" s="59">
        <f>D106</f>
        <v>188</v>
      </c>
      <c r="E107" s="30" t="s">
        <v>169</v>
      </c>
      <c r="F107" s="61"/>
      <c r="G107" s="62"/>
      <c r="H107" s="62"/>
      <c r="I107" s="62"/>
      <c r="J107" s="62"/>
    </row>
    <row r="108" ht="25.5" outlineLevel="1">
      <c r="A108" s="29">
        <f t="shared" si="11"/>
        <v>82</v>
      </c>
      <c r="B108" s="30" t="s">
        <v>170</v>
      </c>
      <c r="C108" s="29" t="s">
        <v>49</v>
      </c>
      <c r="D108" s="59">
        <v>4</v>
      </c>
      <c r="E108" s="30" t="s">
        <v>171</v>
      </c>
      <c r="F108" s="61"/>
      <c r="G108" s="62"/>
      <c r="H108" s="62"/>
      <c r="I108" s="62"/>
      <c r="J108" s="62"/>
    </row>
    <row r="109" ht="25.5" outlineLevel="1">
      <c r="A109" s="29">
        <f t="shared" si="11"/>
        <v>83</v>
      </c>
      <c r="B109" s="30" t="s">
        <v>172</v>
      </c>
      <c r="C109" s="29" t="s">
        <v>49</v>
      </c>
      <c r="D109" s="59">
        <f>D108</f>
        <v>4</v>
      </c>
      <c r="E109" s="30" t="str">
        <f>E108</f>
        <v xml:space="preserve">Плита дорожная ПДН - 4,20тн; 1,68м3 (на 1 ед.) 6,72м3
Сталь арматурная Ø12мм-АIII по ГОСТ 5781-82 - 0,14тн (на 1 ед.)</v>
      </c>
      <c r="F109" s="61"/>
      <c r="G109" s="62"/>
      <c r="H109" s="62"/>
      <c r="I109" s="62"/>
      <c r="J109" s="62"/>
    </row>
    <row r="110" outlineLevel="1">
      <c r="A110" s="29">
        <f t="shared" si="11"/>
        <v>84</v>
      </c>
      <c r="B110" s="30" t="s">
        <v>173</v>
      </c>
      <c r="C110" s="29" t="s">
        <v>31</v>
      </c>
      <c r="D110" s="52">
        <v>0.44800000000000001</v>
      </c>
      <c r="E110" s="30" t="s">
        <v>174</v>
      </c>
      <c r="F110" s="61"/>
      <c r="G110" s="62"/>
      <c r="H110" s="62"/>
      <c r="I110" s="62"/>
      <c r="J110" s="62"/>
    </row>
    <row r="111" ht="25.5" outlineLevel="1">
      <c r="A111" s="29">
        <f t="shared" si="11"/>
        <v>85</v>
      </c>
      <c r="B111" s="30" t="s">
        <v>175</v>
      </c>
      <c r="C111" s="29" t="s">
        <v>31</v>
      </c>
      <c r="D111" s="52">
        <f>D110</f>
        <v>0.44800000000000001</v>
      </c>
      <c r="E111" s="30" t="str">
        <f>E110</f>
        <v xml:space="preserve">1 секция забора - 0,064тн - 4м (всего 7 секций)</v>
      </c>
      <c r="F111" s="61"/>
      <c r="G111" s="62"/>
      <c r="H111" s="62"/>
      <c r="I111" s="62"/>
      <c r="J111" s="62"/>
    </row>
    <row r="112" outlineLevel="1">
      <c r="A112" s="29">
        <f t="shared" si="11"/>
        <v>86</v>
      </c>
      <c r="B112" s="30" t="s">
        <v>176</v>
      </c>
      <c r="C112" s="29" t="s">
        <v>57</v>
      </c>
      <c r="D112" s="52">
        <v>2.5059999999999998</v>
      </c>
      <c r="E112" s="30"/>
      <c r="F112" s="61"/>
      <c r="G112" s="62"/>
      <c r="H112" s="62"/>
      <c r="I112" s="62"/>
      <c r="J112" s="62"/>
    </row>
    <row r="113" ht="25.5" outlineLevel="1">
      <c r="A113" s="29">
        <f t="shared" si="11"/>
        <v>87</v>
      </c>
      <c r="B113" s="30" t="s">
        <v>108</v>
      </c>
      <c r="C113" s="29" t="s">
        <v>19</v>
      </c>
      <c r="D113" s="63">
        <v>0.34000000000000002</v>
      </c>
      <c r="E113" s="30"/>
      <c r="F113" s="61"/>
      <c r="G113" s="62"/>
      <c r="H113" s="62"/>
      <c r="I113" s="62"/>
      <c r="J113" s="62"/>
    </row>
    <row r="114">
      <c r="A114" s="28" t="s">
        <v>177</v>
      </c>
      <c r="B114" s="28"/>
      <c r="C114" s="28"/>
      <c r="D114" s="28"/>
      <c r="E114" s="28"/>
    </row>
    <row r="115" ht="51" outlineLevel="1">
      <c r="A115" s="29">
        <f>A113+1</f>
        <v>88</v>
      </c>
      <c r="B115" s="30" t="s">
        <v>178</v>
      </c>
      <c r="C115" s="29" t="s">
        <v>29</v>
      </c>
      <c r="D115" s="54">
        <v>70</v>
      </c>
      <c r="E115" s="30"/>
      <c r="F115" s="46"/>
      <c r="G115" s="55"/>
      <c r="H115" s="55"/>
      <c r="I115" s="55"/>
      <c r="J115" s="55"/>
    </row>
    <row r="116" ht="38.25" outlineLevel="1">
      <c r="A116" s="29">
        <f>A115+1</f>
        <v>89</v>
      </c>
      <c r="B116" s="30" t="s">
        <v>179</v>
      </c>
      <c r="C116" s="29" t="s">
        <v>29</v>
      </c>
      <c r="D116" s="54">
        <f>D115</f>
        <v>70</v>
      </c>
      <c r="E116" s="30"/>
      <c r="F116" s="55"/>
      <c r="G116" s="55"/>
      <c r="H116" s="55"/>
      <c r="I116" s="55"/>
      <c r="J116" s="55"/>
    </row>
    <row r="118" ht="121.5" customHeight="1">
      <c r="A118" s="64" t="s">
        <v>180</v>
      </c>
      <c r="B118" s="64"/>
      <c r="C118" s="64"/>
      <c r="D118" s="64"/>
      <c r="E118" s="64"/>
    </row>
    <row r="120">
      <c r="A120" s="65"/>
      <c r="B120" s="65"/>
      <c r="C120" s="65"/>
    </row>
    <row r="122" ht="15" customHeight="1">
      <c r="A122" s="66"/>
      <c r="B122" s="66"/>
      <c r="C122" s="66"/>
      <c r="D122" s="67"/>
      <c r="E122" s="66"/>
    </row>
    <row r="123" s="68" customFormat="1" ht="15">
      <c r="A123" s="67"/>
      <c r="B123" s="66"/>
      <c r="C123" s="66"/>
      <c r="D123" s="67"/>
      <c r="E123" s="66"/>
      <c r="F123" s="69"/>
      <c r="G123" s="70"/>
    </row>
    <row r="124" s="71" customFormat="1" ht="15" customHeight="1">
      <c r="A124" s="72"/>
      <c r="B124" s="73"/>
      <c r="C124" s="74"/>
      <c r="D124" s="74"/>
      <c r="E124" s="75"/>
      <c r="F124" s="76"/>
      <c r="G124" s="77"/>
    </row>
    <row r="125" s="78" customFormat="1" ht="15">
      <c r="A125" s="79"/>
      <c r="B125" s="79"/>
      <c r="C125" s="80"/>
      <c r="D125" s="81"/>
      <c r="E125" s="82"/>
      <c r="F125" s="83"/>
      <c r="G125" s="84"/>
    </row>
    <row r="126" s="78" customFormat="1" ht="15">
      <c r="A126" s="85"/>
      <c r="B126" s="86"/>
      <c r="C126" s="87"/>
      <c r="D126" s="87"/>
      <c r="E126" s="88"/>
      <c r="F126" s="83"/>
      <c r="G126" s="84"/>
    </row>
    <row r="127" ht="15">
      <c r="A127" s="89"/>
      <c r="B127" s="90"/>
      <c r="C127" s="91"/>
      <c r="D127" s="91"/>
      <c r="E127" s="92"/>
    </row>
    <row r="128">
      <c r="A128" s="93"/>
      <c r="B128" s="94"/>
      <c r="C128" s="94"/>
      <c r="D128" s="93"/>
      <c r="E128" s="95"/>
    </row>
    <row r="129">
      <c r="A129" s="94"/>
      <c r="B129" s="94"/>
      <c r="C129" s="94"/>
      <c r="D129" s="96"/>
      <c r="E129" s="95"/>
    </row>
  </sheetData>
  <mergeCells count="24">
    <mergeCell ref="A1:B1"/>
    <mergeCell ref="A8:E8"/>
    <mergeCell ref="A9:E9"/>
    <mergeCell ref="A12:E12"/>
    <mergeCell ref="A23:E23"/>
    <mergeCell ref="A24:E24"/>
    <mergeCell ref="A28:E28"/>
    <mergeCell ref="A36:E36"/>
    <mergeCell ref="A58:E58"/>
    <mergeCell ref="A64:E64"/>
    <mergeCell ref="A71:E71"/>
    <mergeCell ref="A78:E78"/>
    <mergeCell ref="A85:E85"/>
    <mergeCell ref="A89:E89"/>
    <mergeCell ref="A90:E90"/>
    <mergeCell ref="A98:E98"/>
    <mergeCell ref="A99:E99"/>
    <mergeCell ref="A104:E104"/>
    <mergeCell ref="A114:E114"/>
    <mergeCell ref="A118:E118"/>
    <mergeCell ref="A120:C120"/>
    <mergeCell ref="A122:C122"/>
    <mergeCell ref="A125:B125"/>
    <mergeCell ref="A129:C129"/>
  </mergeCells>
  <printOptions headings="0" gridLines="0"/>
  <pageMargins left="0.51000000000000023" right="0.39370078740157477" top="0.3600000000000001" bottom="0.46000000000000008" header="0" footer="0.19685039370078738"/>
  <pageSetup paperSize="9" scale="7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&amp;R&amp;"Times New Roman,Regular "Страница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D114" activeCellId="0" sqref="D114"/>
    </sheetView>
  </sheetViews>
  <sheetFormatPr defaultColWidth="9.140625" defaultRowHeight="12.75" outlineLevelRow="1"/>
  <cols>
    <col customWidth="1" min="1" max="1" style="2" width="4.42578125"/>
    <col customWidth="1" min="2" max="2" style="3" width="40.85546875"/>
    <col customWidth="1" min="3" max="3" style="4" width="14.85546875"/>
    <col customWidth="1" min="4" max="4" style="4" width="10.85546875"/>
    <col customWidth="1" min="5" max="5" style="5" width="63.28515625"/>
    <col customWidth="1" hidden="1" min="6" max="6" style="6" width="20.5703125"/>
    <col customWidth="1" hidden="1" min="7" max="7" style="7" width="9.140625"/>
    <col customWidth="1" hidden="1" min="8" max="8" style="1" width="11.140625"/>
    <col customWidth="1" hidden="1" min="9" max="10" style="1" width="10"/>
    <col customWidth="1" hidden="1" min="11" max="12" style="1" width="9.140625"/>
    <col customWidth="1" hidden="1" min="13" max="13" style="1" width="17"/>
    <col customWidth="1" hidden="1" min="14" max="14" style="1" width="9.140625"/>
    <col customWidth="1" hidden="1" min="15" max="15" style="97" width="15.28515625"/>
    <col customWidth="1" hidden="1" min="16" max="16" style="98" width="16.28515625"/>
    <col customWidth="1" hidden="1" min="17" max="23" style="1" width="0"/>
    <col min="24" max="16384" style="1" width="9.140625"/>
  </cols>
  <sheetData>
    <row r="1">
      <c r="A1" s="99"/>
      <c r="B1" s="100"/>
      <c r="C1" s="99"/>
      <c r="D1" s="101"/>
      <c r="E1" s="1"/>
      <c r="F1" s="49"/>
      <c r="G1" s="12"/>
      <c r="H1" s="13"/>
    </row>
    <row r="2" ht="15">
      <c r="A2" s="102" t="s">
        <v>181</v>
      </c>
      <c r="B2" s="102"/>
      <c r="C2" s="102"/>
      <c r="D2" s="102"/>
      <c r="E2" s="102"/>
      <c r="F2" s="49"/>
      <c r="G2" s="12"/>
      <c r="H2" s="13"/>
    </row>
    <row r="3">
      <c r="A3" s="103"/>
      <c r="B3" s="104"/>
      <c r="C3" s="17"/>
      <c r="D3" s="20"/>
      <c r="E3" s="105"/>
      <c r="F3" s="49"/>
      <c r="G3" s="12"/>
      <c r="H3" s="13"/>
    </row>
    <row r="4" ht="15">
      <c r="A4" s="106"/>
      <c r="B4" s="15"/>
      <c r="C4" s="17"/>
      <c r="D4" s="20"/>
      <c r="E4" s="107" t="s">
        <v>0</v>
      </c>
      <c r="F4" s="49"/>
      <c r="G4" s="12"/>
      <c r="H4" s="13"/>
    </row>
    <row r="5">
      <c r="A5" s="108"/>
      <c r="B5" s="15"/>
      <c r="C5" s="17"/>
      <c r="D5" s="20"/>
      <c r="E5" s="18"/>
      <c r="F5" s="49"/>
      <c r="G5" s="12"/>
      <c r="H5" s="13"/>
    </row>
    <row r="6">
      <c r="A6" s="108"/>
      <c r="B6" s="15"/>
      <c r="C6" s="17"/>
      <c r="D6" s="20"/>
      <c r="E6" s="18" t="s">
        <v>182</v>
      </c>
      <c r="F6" s="49"/>
      <c r="G6" s="12"/>
      <c r="H6" s="13"/>
    </row>
    <row r="7">
      <c r="A7" s="108"/>
      <c r="B7" s="15"/>
      <c r="C7" s="17"/>
      <c r="D7" s="20"/>
      <c r="E7" s="10" t="s">
        <v>183</v>
      </c>
      <c r="F7" s="49"/>
      <c r="G7" s="12"/>
      <c r="H7" s="13"/>
    </row>
    <row r="8" ht="39.75" customHeight="1">
      <c r="A8" s="22" t="s">
        <v>4</v>
      </c>
      <c r="B8" s="21"/>
      <c r="C8" s="21"/>
      <c r="D8" s="21"/>
      <c r="E8" s="21"/>
      <c r="G8" s="12"/>
      <c r="H8" s="13"/>
    </row>
    <row r="9" ht="60" customHeight="1">
      <c r="A9" s="109" t="s">
        <v>184</v>
      </c>
      <c r="B9" s="21"/>
      <c r="C9" s="21"/>
      <c r="D9" s="21"/>
      <c r="E9" s="21"/>
      <c r="F9" s="19"/>
      <c r="G9" s="12"/>
      <c r="H9" s="13"/>
    </row>
    <row r="10" ht="40.5" customHeight="1">
      <c r="A10" s="23" t="s">
        <v>6</v>
      </c>
      <c r="B10" s="24" t="s">
        <v>7</v>
      </c>
      <c r="C10" s="24" t="s">
        <v>8</v>
      </c>
      <c r="D10" s="24" t="s">
        <v>9</v>
      </c>
      <c r="E10" s="25" t="s">
        <v>10</v>
      </c>
      <c r="M10" s="110">
        <v>3105740.3300000001</v>
      </c>
      <c r="O10" s="111">
        <f>(SUM(O13:O24)+45422+2415+SUM(O100:O103))-3105740.33</f>
        <v>-2880925.8497772547</v>
      </c>
      <c r="S10" s="1">
        <v>1</v>
      </c>
      <c r="U10" s="1">
        <v>1</v>
      </c>
      <c r="V10" s="1">
        <v>1</v>
      </c>
    </row>
    <row r="11">
      <c r="A11" s="26">
        <v>1</v>
      </c>
      <c r="B11" s="27">
        <v>2</v>
      </c>
      <c r="C11" s="27">
        <v>3</v>
      </c>
      <c r="D11" s="27">
        <v>4</v>
      </c>
      <c r="E11" s="25">
        <v>5</v>
      </c>
      <c r="S11" s="1">
        <f>8.3-S10</f>
        <v>7.3000000000000007</v>
      </c>
      <c r="U11" s="1">
        <f>12.9-U10</f>
        <v>11.9</v>
      </c>
      <c r="V11" s="1">
        <f>7.8-V10</f>
        <v>6.7999999999999998</v>
      </c>
    </row>
    <row r="12">
      <c r="A12" s="28" t="s">
        <v>11</v>
      </c>
      <c r="B12" s="28"/>
      <c r="C12" s="28"/>
      <c r="D12" s="28"/>
      <c r="E12" s="28"/>
      <c r="G12" s="7" t="s">
        <v>12</v>
      </c>
      <c r="H12" s="1" t="s">
        <v>13</v>
      </c>
      <c r="I12" s="1" t="s">
        <v>14</v>
      </c>
      <c r="K12" s="1" t="s">
        <v>15</v>
      </c>
      <c r="L12" s="1" t="s">
        <v>16</v>
      </c>
      <c r="M12" s="1" t="s">
        <v>17</v>
      </c>
    </row>
    <row r="13" ht="120" outlineLevel="1">
      <c r="A13" s="29">
        <v>1</v>
      </c>
      <c r="B13" s="30" t="s">
        <v>18</v>
      </c>
      <c r="C13" s="29" t="s">
        <v>19</v>
      </c>
      <c r="D13" s="31">
        <f>K13+L13+M13</f>
        <v>1341.6511350000001</v>
      </c>
      <c r="E13" s="30" t="s">
        <v>185</v>
      </c>
      <c r="F13" s="32"/>
      <c r="G13" s="33" t="s">
        <v>21</v>
      </c>
      <c r="H13" s="34" t="s">
        <v>22</v>
      </c>
      <c r="I13" s="34" t="s">
        <v>23</v>
      </c>
      <c r="K13" s="112">
        <f>(((((4.7+S11)/2)*2.6)*26-(1.48*2*1.4*26))*0.97)</f>
        <v>288.92032</v>
      </c>
      <c r="L13" s="1">
        <f>((5.25/6*(((2*R14+R15)*S14)+((2*R15+R14)*S15)))-(4.5*3*3))*0.97</f>
        <v>813.21647500000006</v>
      </c>
      <c r="M13" s="1">
        <f>((3.4/6*(((2*U11+V11)*U11)+((2*V11+U11)*V11)))-(5.06*3.8*3))*0.97</f>
        <v>239.51434000000003</v>
      </c>
      <c r="O13" s="111">
        <f>D13/1000*114825.46</f>
        <v>154055.70873589712</v>
      </c>
      <c r="R13" s="1">
        <v>1</v>
      </c>
      <c r="S13" s="1">
        <v>1</v>
      </c>
    </row>
    <row r="14" ht="36" outlineLevel="1">
      <c r="A14" s="29">
        <f t="shared" ref="A14:A22" si="12">A13+1</f>
        <v>2</v>
      </c>
      <c r="B14" s="30" t="s">
        <v>24</v>
      </c>
      <c r="C14" s="29" t="s">
        <v>19</v>
      </c>
      <c r="D14" s="31">
        <f>K14</f>
        <v>8.9356799999999996</v>
      </c>
      <c r="E14" s="30" t="s">
        <v>186</v>
      </c>
      <c r="F14" s="35"/>
      <c r="K14" s="1">
        <f>(((((4.7+S11)/2)*2.6)*26-(1.48*2*1.4*26))*0.03)</f>
        <v>8.9356799999999996</v>
      </c>
      <c r="L14" s="1">
        <f>((5.25/6*(((2*R14+R15)*S14)+((2*R15+R14)*S15)))-(4.5*3*3))*0.03</f>
        <v>25.151025000000001</v>
      </c>
      <c r="M14" s="1">
        <f>((3.4/6*(((2*U11+7.8)*U11)+((2*7.8+U11)*7.8)))-(5.06*3.8*3))*0.03</f>
        <v>8.3086599999999997</v>
      </c>
      <c r="O14" s="111">
        <f>D14/100*256519.61</f>
        <v>22921.771486848</v>
      </c>
      <c r="R14" s="1">
        <f>18.3-R13</f>
        <v>17.300000000000001</v>
      </c>
      <c r="S14" s="1">
        <f>17.1-S13</f>
        <v>16.100000000000001</v>
      </c>
    </row>
    <row r="15" ht="84" outlineLevel="1">
      <c r="A15" s="29">
        <f t="shared" si="12"/>
        <v>3</v>
      </c>
      <c r="B15" s="30" t="s">
        <v>26</v>
      </c>
      <c r="C15" s="29" t="s">
        <v>19</v>
      </c>
      <c r="D15" s="31">
        <f>L14+M14</f>
        <v>33.459685</v>
      </c>
      <c r="E15" s="30" t="s">
        <v>187</v>
      </c>
      <c r="F15" s="35"/>
      <c r="O15" s="111"/>
      <c r="R15" s="1">
        <f>10.4-1</f>
        <v>9.4000000000000004</v>
      </c>
      <c r="S15" s="1">
        <f>9.2-1</f>
        <v>8.1999999999999993</v>
      </c>
      <c r="T15" s="1">
        <v>5.25</v>
      </c>
    </row>
    <row r="16" ht="36" outlineLevel="1">
      <c r="A16" s="29">
        <f t="shared" si="12"/>
        <v>4</v>
      </c>
      <c r="B16" s="30" t="s">
        <v>28</v>
      </c>
      <c r="C16" s="29" t="s">
        <v>29</v>
      </c>
      <c r="D16" s="31">
        <v>289.30000000000001</v>
      </c>
      <c r="E16" s="30"/>
      <c r="F16" s="35"/>
      <c r="J16" s="1">
        <f>((R14+R15)/2*T15*2)+((S14+S15)/2*T15*2)</f>
        <v>267.75</v>
      </c>
      <c r="O16" s="111"/>
    </row>
    <row r="17" ht="36" outlineLevel="1">
      <c r="A17" s="29">
        <f t="shared" si="12"/>
        <v>5</v>
      </c>
      <c r="B17" s="30" t="s">
        <v>30</v>
      </c>
      <c r="C17" s="29" t="s">
        <v>31</v>
      </c>
      <c r="D17" s="36">
        <f>ROUND((D14+D15)*1.95,3)</f>
        <v>82.671000000000006</v>
      </c>
      <c r="E17" s="30" t="s">
        <v>32</v>
      </c>
      <c r="F17" s="37"/>
      <c r="O17" s="111"/>
    </row>
    <row r="18" ht="36.75" customHeight="1" outlineLevel="1">
      <c r="A18" s="29">
        <f t="shared" si="12"/>
        <v>6</v>
      </c>
      <c r="B18" s="30" t="s">
        <v>33</v>
      </c>
      <c r="C18" s="29" t="s">
        <v>19</v>
      </c>
      <c r="D18" s="31">
        <f>((1.28*2)*0.2)*24</f>
        <v>12.288</v>
      </c>
      <c r="E18" s="30" t="s">
        <v>34</v>
      </c>
      <c r="F18" s="35"/>
      <c r="O18" s="111"/>
    </row>
    <row r="19" ht="36" customHeight="1" outlineLevel="1">
      <c r="A19" s="29">
        <f t="shared" si="12"/>
        <v>7</v>
      </c>
      <c r="B19" s="30" t="s">
        <v>35</v>
      </c>
      <c r="C19" s="29" t="s">
        <v>31</v>
      </c>
      <c r="D19" s="36">
        <f>ROUND(12.3*1.95,3)</f>
        <v>23.984999999999999</v>
      </c>
      <c r="E19" s="30" t="s">
        <v>36</v>
      </c>
      <c r="F19" s="37"/>
      <c r="O19" s="111"/>
    </row>
    <row r="20" ht="42.75" customHeight="1" outlineLevel="1">
      <c r="A20" s="29">
        <f t="shared" si="12"/>
        <v>8</v>
      </c>
      <c r="B20" s="30" t="s">
        <v>37</v>
      </c>
      <c r="C20" s="29" t="s">
        <v>31</v>
      </c>
      <c r="D20" s="36">
        <f>ROUND((D13+D14+D15+12.3)*1.95,3)</f>
        <v>2722.8760000000002</v>
      </c>
      <c r="E20" s="30" t="s">
        <v>38</v>
      </c>
      <c r="F20" s="35"/>
      <c r="O20" s="111"/>
    </row>
    <row r="21" outlineLevel="1">
      <c r="A21" s="29">
        <f t="shared" si="12"/>
        <v>9</v>
      </c>
      <c r="B21" s="30" t="s">
        <v>39</v>
      </c>
      <c r="C21" s="29" t="s">
        <v>19</v>
      </c>
      <c r="D21" s="31">
        <f>ROUND(D13+D14+D15+D18,1)</f>
        <v>1396.3000000000002</v>
      </c>
      <c r="E21" s="30" t="s">
        <v>40</v>
      </c>
      <c r="F21" s="35"/>
      <c r="O21" s="111"/>
    </row>
    <row r="22" outlineLevel="1">
      <c r="A22" s="29">
        <f t="shared" si="12"/>
        <v>10</v>
      </c>
      <c r="B22" s="30" t="s">
        <v>41</v>
      </c>
      <c r="C22" s="29" t="s">
        <v>42</v>
      </c>
      <c r="D22" s="38">
        <f>ROUND(D21*2/50,1)</f>
        <v>55.900000000000006</v>
      </c>
      <c r="E22" s="30" t="s">
        <v>43</v>
      </c>
      <c r="F22" s="35"/>
      <c r="O22" s="111"/>
    </row>
    <row r="23">
      <c r="A23" s="28" t="s">
        <v>44</v>
      </c>
      <c r="B23" s="28"/>
      <c r="C23" s="28"/>
      <c r="D23" s="28"/>
      <c r="E23" s="28"/>
      <c r="O23" s="111"/>
    </row>
    <row r="24">
      <c r="A24" s="28" t="s">
        <v>45</v>
      </c>
      <c r="B24" s="28"/>
      <c r="C24" s="28"/>
      <c r="D24" s="28"/>
      <c r="E24" s="28"/>
    </row>
    <row r="25" ht="120">
      <c r="A25" s="29">
        <f>A22+1</f>
        <v>11</v>
      </c>
      <c r="B25" s="30" t="s">
        <v>46</v>
      </c>
      <c r="C25" s="29" t="s">
        <v>19</v>
      </c>
      <c r="D25" s="44">
        <f>J25+K25</f>
        <v>58.459086400000004</v>
      </c>
      <c r="E25" s="40" t="s">
        <v>47</v>
      </c>
      <c r="J25" s="41">
        <f>((4.5*3*0.8)+((4.5*3*0.8)-(0.51*0.51*3.14*0.8*2))+((4.5*3*0.4)-(0.51*0.51*3.14*0.4*2))+(2.2*3*0.4*2))</f>
        <v>30.319886400000001</v>
      </c>
      <c r="K25" s="41">
        <f>((5.06*3.8*0.4)+(((3.8*3*0.4)*2)-((1*1*0.4)*2))+(((5.06*3*0.4)*2)-(0.2*0.2*0.4)))</f>
        <v>28.139199999999999</v>
      </c>
      <c r="L25" s="41"/>
    </row>
    <row r="26">
      <c r="A26" s="29">
        <f t="shared" ref="A26:A27" si="13">A25+1</f>
        <v>12</v>
      </c>
      <c r="B26" s="30" t="s">
        <v>48</v>
      </c>
      <c r="C26" s="29" t="s">
        <v>49</v>
      </c>
      <c r="D26" s="29">
        <v>1</v>
      </c>
      <c r="E26" s="30" t="s">
        <v>50</v>
      </c>
    </row>
    <row r="27" ht="156">
      <c r="A27" s="29">
        <f t="shared" si="13"/>
        <v>13</v>
      </c>
      <c r="B27" s="30" t="s">
        <v>51</v>
      </c>
      <c r="C27" s="29" t="s">
        <v>31</v>
      </c>
      <c r="D27" s="29">
        <v>0.44</v>
      </c>
      <c r="E27" s="40" t="s">
        <v>52</v>
      </c>
    </row>
    <row r="28">
      <c r="A28" s="28" t="s">
        <v>53</v>
      </c>
      <c r="B28" s="28"/>
      <c r="C28" s="28"/>
      <c r="D28" s="28"/>
      <c r="E28" s="28"/>
      <c r="F28" s="42"/>
    </row>
    <row r="29" ht="60" outlineLevel="1">
      <c r="A29" s="29">
        <f>A27+1</f>
        <v>14</v>
      </c>
      <c r="B29" s="30" t="s">
        <v>54</v>
      </c>
      <c r="C29" s="29" t="s">
        <v>19</v>
      </c>
      <c r="D29" s="29">
        <f>ROUND((0.72*24)+(0.09*10),1)</f>
        <v>18.199999999999999</v>
      </c>
      <c r="E29" s="30" t="s">
        <v>55</v>
      </c>
      <c r="F29" s="42"/>
    </row>
    <row r="30" ht="144" outlineLevel="1">
      <c r="A30" s="29">
        <f t="shared" ref="A30:A35" si="14">A29+1</f>
        <v>15</v>
      </c>
      <c r="B30" s="30" t="s">
        <v>56</v>
      </c>
      <c r="C30" s="29" t="s">
        <v>57</v>
      </c>
      <c r="D30" s="31">
        <f>(39.04+37.56+1+0.95)+(4*1.932)</f>
        <v>86.277999999999992</v>
      </c>
      <c r="E30" s="30" t="s">
        <v>58</v>
      </c>
      <c r="J30" s="41"/>
      <c r="N30" s="41"/>
    </row>
    <row r="31" ht="24" outlineLevel="1">
      <c r="A31" s="29">
        <f t="shared" si="14"/>
        <v>16</v>
      </c>
      <c r="B31" s="30" t="s">
        <v>59</v>
      </c>
      <c r="C31" s="29" t="s">
        <v>60</v>
      </c>
      <c r="D31" s="31">
        <f>ROUND(((0.82+(0.16/1.2))*3.14*(D30)),1)</f>
        <v>258.30000000000001</v>
      </c>
      <c r="E31" s="30"/>
    </row>
    <row r="32" ht="84" outlineLevel="1">
      <c r="A32" s="29">
        <f t="shared" si="14"/>
        <v>17</v>
      </c>
      <c r="B32" s="30" t="s">
        <v>61</v>
      </c>
      <c r="C32" s="29" t="s">
        <v>31</v>
      </c>
      <c r="D32" s="36">
        <f>ROUND((10*0.04/2)+(4*0.1428/2),3)</f>
        <v>0.48599999999999999</v>
      </c>
      <c r="E32" s="30" t="s">
        <v>62</v>
      </c>
    </row>
    <row r="33" ht="48" outlineLevel="1">
      <c r="A33" s="29">
        <f t="shared" si="14"/>
        <v>18</v>
      </c>
      <c r="B33" s="30" t="s">
        <v>63</v>
      </c>
      <c r="C33" s="29" t="s">
        <v>57</v>
      </c>
      <c r="D33" s="44">
        <f>12+(2*0.325)+(2*0.234)</f>
        <v>13.118</v>
      </c>
      <c r="E33" s="30" t="s">
        <v>64</v>
      </c>
    </row>
    <row r="34" ht="12" customHeight="1" outlineLevel="1">
      <c r="A34" s="29">
        <f t="shared" si="14"/>
        <v>19</v>
      </c>
      <c r="B34" s="30" t="s">
        <v>65</v>
      </c>
      <c r="C34" s="29" t="s">
        <v>19</v>
      </c>
      <c r="D34" s="36">
        <f>(D32)*6</f>
        <v>2.9159999999999999</v>
      </c>
      <c r="E34" s="30"/>
    </row>
    <row r="35" outlineLevel="1">
      <c r="A35" s="29">
        <f t="shared" si="14"/>
        <v>20</v>
      </c>
      <c r="B35" s="30" t="s">
        <v>66</v>
      </c>
      <c r="C35" s="29" t="s">
        <v>67</v>
      </c>
      <c r="D35" s="36">
        <f>(D32)*2</f>
        <v>0.97199999999999998</v>
      </c>
      <c r="E35" s="30"/>
    </row>
    <row r="36">
      <c r="A36" s="28" t="s">
        <v>68</v>
      </c>
      <c r="B36" s="28"/>
      <c r="C36" s="28"/>
      <c r="D36" s="28"/>
      <c r="E36" s="28"/>
    </row>
    <row r="37" ht="48" outlineLevel="1">
      <c r="A37" s="29">
        <f>A35+1</f>
        <v>21</v>
      </c>
      <c r="B37" s="30" t="s">
        <v>69</v>
      </c>
      <c r="C37" s="29" t="s">
        <v>70</v>
      </c>
      <c r="D37" s="36">
        <f>ROUND((0.101*78.55)+(12*0.01),4)</f>
        <v>8.0535999999999994</v>
      </c>
      <c r="E37" s="30" t="s">
        <v>71</v>
      </c>
      <c r="F37" s="46"/>
    </row>
    <row r="38" ht="48" outlineLevel="1">
      <c r="A38" s="29">
        <f t="shared" ref="A38:A57" si="15">A37+1</f>
        <v>22</v>
      </c>
      <c r="B38" s="30" t="s">
        <v>72</v>
      </c>
      <c r="C38" s="29" t="s">
        <v>70</v>
      </c>
      <c r="D38" s="36">
        <f>D37</f>
        <v>8.0535999999999994</v>
      </c>
      <c r="E38" s="30" t="str">
        <f>E37</f>
        <v xml:space="preserve">Трубопроводы
Дн=820х5мм - 0,101тн*78,55м
Дн=108х4мм - 0,01тн*12м</v>
      </c>
      <c r="F38" s="46"/>
    </row>
    <row r="39" ht="48" outlineLevel="1">
      <c r="A39" s="29">
        <f t="shared" si="15"/>
        <v>23</v>
      </c>
      <c r="B39" s="30" t="s">
        <v>73</v>
      </c>
      <c r="C39" s="29" t="s">
        <v>70</v>
      </c>
      <c r="D39" s="36">
        <f>D37</f>
        <v>8.0535999999999994</v>
      </c>
      <c r="E39" s="30" t="str">
        <f>E37</f>
        <v xml:space="preserve">Трубопроводы
Дн=820х5мм - 0,101тн*78,55м
Дн=108х4мм - 0,01тн*12м</v>
      </c>
      <c r="F39" s="46"/>
    </row>
    <row r="40" ht="84" outlineLevel="1">
      <c r="A40" s="29">
        <f t="shared" si="15"/>
        <v>24</v>
      </c>
      <c r="B40" s="30" t="s">
        <v>74</v>
      </c>
      <c r="C40" s="29" t="s">
        <v>70</v>
      </c>
      <c r="D40" s="44">
        <f>(48*1.8)+(10*0.23)+1.77+(2*3)+(2*3.975)+(3.5)</f>
        <v>107.92</v>
      </c>
      <c r="E40" s="30" t="s">
        <v>75</v>
      </c>
      <c r="F40" s="47"/>
    </row>
    <row r="41" ht="84" outlineLevel="1">
      <c r="A41" s="29">
        <f t="shared" si="15"/>
        <v>25</v>
      </c>
      <c r="B41" s="30" t="s">
        <v>76</v>
      </c>
      <c r="C41" s="29" t="s">
        <v>70</v>
      </c>
      <c r="D41" s="44">
        <f>D40</f>
        <v>107.92</v>
      </c>
      <c r="E41" s="30" t="str">
        <f>E40</f>
        <v xml:space="preserve">Лоток Л11-8 (1,8тн; 0,72 м3) - 48 шт
Опорная подушка ОП-7 (0,23тн; 0,09 м3) - 10шт
Балка Б7 - 1 шт (0,71м3, 1,77тн)
Плиты
ПТ 42.15-8АIII-ЛК - 2шт (1,2м3;  3,0тн)
ПТ 54.15-8АIII-ЛК - 2шт (1,59м3;  3,975тн)
ПТ 54.12 - 1шт (1,4м3;  3,5тн)</v>
      </c>
      <c r="F41" s="47"/>
    </row>
    <row r="42" ht="36" outlineLevel="1">
      <c r="A42" s="29">
        <f t="shared" si="15"/>
        <v>26</v>
      </c>
      <c r="B42" s="30" t="s">
        <v>77</v>
      </c>
      <c r="C42" s="29" t="s">
        <v>70</v>
      </c>
      <c r="D42" s="44">
        <f>(D25*2.5)</f>
        <v>146.147716</v>
      </c>
      <c r="E42" s="30" t="s">
        <v>78</v>
      </c>
      <c r="F42" s="47"/>
    </row>
    <row r="43" ht="84" outlineLevel="1">
      <c r="A43" s="29">
        <f t="shared" si="15"/>
        <v>27</v>
      </c>
      <c r="B43" s="30" t="s">
        <v>79</v>
      </c>
      <c r="C43" s="29" t="s">
        <v>70</v>
      </c>
      <c r="D43" s="44">
        <f>D42</f>
        <v>146.147716</v>
      </c>
      <c r="E43" s="30" t="str">
        <f>E42</f>
        <v xml:space="preserve">ТК-327.15
ТК-327.15А</v>
      </c>
      <c r="F43" s="47"/>
    </row>
    <row r="44" ht="48" outlineLevel="1">
      <c r="A44" s="29">
        <f t="shared" si="15"/>
        <v>28</v>
      </c>
      <c r="B44" s="30" t="s">
        <v>80</v>
      </c>
      <c r="C44" s="29" t="s">
        <v>70</v>
      </c>
      <c r="D44" s="36">
        <f>ROUND((D30)*PI()*(0.82+0.08/1.2)*0.08/1.2*75/1000,3)</f>
        <v>1.202</v>
      </c>
      <c r="E44" s="30"/>
      <c r="F44" s="46"/>
    </row>
    <row r="45" ht="60" outlineLevel="1">
      <c r="A45" s="29">
        <f t="shared" si="15"/>
        <v>29</v>
      </c>
      <c r="B45" s="30" t="s">
        <v>81</v>
      </c>
      <c r="C45" s="29" t="s">
        <v>70</v>
      </c>
      <c r="D45" s="36">
        <f>D44</f>
        <v>1.202</v>
      </c>
      <c r="E45" s="30"/>
      <c r="F45" s="46"/>
    </row>
    <row r="46" ht="24" outlineLevel="1">
      <c r="A46" s="29">
        <f t="shared" si="15"/>
        <v>30</v>
      </c>
      <c r="B46" s="30" t="s">
        <v>82</v>
      </c>
      <c r="C46" s="29" t="s">
        <v>70</v>
      </c>
      <c r="D46" s="36">
        <f>1.188+142.88+107.92</f>
        <v>251.988</v>
      </c>
      <c r="E46" s="30"/>
    </row>
    <row r="47" ht="84" outlineLevel="1">
      <c r="A47" s="29">
        <f t="shared" si="15"/>
        <v>31</v>
      </c>
      <c r="B47" s="30" t="s">
        <v>83</v>
      </c>
      <c r="C47" s="29" t="s">
        <v>70</v>
      </c>
      <c r="D47" s="36">
        <f>ROUND((10*0.069/2)+(0.249*4)+(4*(0.1428/2)),3)</f>
        <v>1.627</v>
      </c>
      <c r="E47" s="30" t="s">
        <v>84</v>
      </c>
      <c r="F47" s="47"/>
    </row>
    <row r="48" ht="84" outlineLevel="1">
      <c r="A48" s="29">
        <f t="shared" si="15"/>
        <v>32</v>
      </c>
      <c r="B48" s="30" t="s">
        <v>85</v>
      </c>
      <c r="C48" s="29" t="s">
        <v>70</v>
      </c>
      <c r="D48" s="36">
        <f>D47</f>
        <v>1.627</v>
      </c>
      <c r="E48" s="30" t="str">
        <f>E47</f>
        <v xml:space="preserve">Скользящие опоры ТС-624.000-057 10шт*0,069тн/2
Заглушки ТС-596.000-13
Ду=800мм - 0,249тн*4шт
Опора неподвижная ТС-664.00-04
НО Ду 800 - 4 шт *0,1428тн/2</v>
      </c>
      <c r="F48" s="47"/>
    </row>
    <row r="49" ht="84" outlineLevel="1">
      <c r="A49" s="29">
        <f t="shared" si="15"/>
        <v>33</v>
      </c>
      <c r="B49" s="30" t="s">
        <v>86</v>
      </c>
      <c r="C49" s="29" t="s">
        <v>70</v>
      </c>
      <c r="D49" s="36">
        <f>ROUND((4*0.231)+(2*0.003)+(2*(0.0083/2)),3)</f>
        <v>0.93800000000000006</v>
      </c>
      <c r="E49" s="30" t="s">
        <v>87</v>
      </c>
      <c r="F49" s="47"/>
    </row>
    <row r="50" ht="84" outlineLevel="1">
      <c r="A50" s="29">
        <f t="shared" si="15"/>
        <v>34</v>
      </c>
      <c r="B50" s="30" t="s">
        <v>88</v>
      </c>
      <c r="C50" s="29" t="s">
        <v>70</v>
      </c>
      <c r="D50" s="36">
        <f>D49</f>
        <v>0.93800000000000006</v>
      </c>
      <c r="E50" s="30" t="str">
        <f>E49</f>
        <v xml:space="preserve">Отводы 90гр.
Дн=820х6мм - 4шт*0,231тн
Дн=108х5мм - 2шт*0,003тн
Краны
Ду100 - 2шт*0,0083/2=83 кг</v>
      </c>
      <c r="F50" s="47"/>
    </row>
    <row r="51" ht="168" outlineLevel="1">
      <c r="A51" s="29">
        <f t="shared" si="15"/>
        <v>35</v>
      </c>
      <c r="B51" s="30" t="s">
        <v>89</v>
      </c>
      <c r="C51" s="29" t="s">
        <v>70</v>
      </c>
      <c r="D51" s="36">
        <f>D47+D49</f>
        <v>2.5649999999999999</v>
      </c>
      <c r="E51" s="30" t="s">
        <v>90</v>
      </c>
      <c r="F51" s="37"/>
    </row>
    <row r="52" ht="132" outlineLevel="1">
      <c r="A52" s="29">
        <f t="shared" si="15"/>
        <v>36</v>
      </c>
      <c r="B52" s="30" t="s">
        <v>91</v>
      </c>
      <c r="C52" s="29" t="s">
        <v>70</v>
      </c>
      <c r="D52" s="36">
        <f>ROUND((4*0.863)+(2*0.0777)+(2*0.335)+(4*0.1566)+1.114,3)</f>
        <v>6.0179999999999998</v>
      </c>
      <c r="E52" s="30" t="s">
        <v>92</v>
      </c>
      <c r="F52" s="37"/>
    </row>
    <row r="53" ht="132" outlineLevel="1">
      <c r="A53" s="29">
        <f t="shared" si="15"/>
        <v>37</v>
      </c>
      <c r="B53" s="30" t="s">
        <v>93</v>
      </c>
      <c r="C53" s="29" t="s">
        <v>70</v>
      </c>
      <c r="D53" s="36">
        <f>D52</f>
        <v>6.0179999999999998</v>
      </c>
      <c r="E53" s="30" t="s">
        <v>94</v>
      </c>
      <c r="F53" s="37"/>
    </row>
    <row r="54" ht="48" outlineLevel="1">
      <c r="A54" s="29">
        <f t="shared" si="15"/>
        <v>38</v>
      </c>
      <c r="B54" s="30" t="s">
        <v>95</v>
      </c>
      <c r="C54" s="29" t="s">
        <v>70</v>
      </c>
      <c r="D54" s="36">
        <f>ROUND((75.95*0.301)+(12*0.0777),3)</f>
        <v>23.792999999999999</v>
      </c>
      <c r="E54" s="30" t="s">
        <v>96</v>
      </c>
      <c r="F54" s="47"/>
    </row>
    <row r="55" ht="48" outlineLevel="1">
      <c r="A55" s="29">
        <f t="shared" si="15"/>
        <v>39</v>
      </c>
      <c r="B55" s="30" t="s">
        <v>97</v>
      </c>
      <c r="C55" s="29" t="s">
        <v>70</v>
      </c>
      <c r="D55" s="36">
        <f>D54</f>
        <v>23.792999999999999</v>
      </c>
      <c r="E55" s="30" t="str">
        <f>E54</f>
        <v xml:space="preserve">Трубопроводы
Дн=1020х12мм - 0,301тн*75,95м
Дн=325х10мм - 0,0777тн*12м</v>
      </c>
      <c r="F55" s="47"/>
    </row>
    <row r="56" ht="60" outlineLevel="1">
      <c r="A56" s="29">
        <f t="shared" si="15"/>
        <v>40</v>
      </c>
      <c r="B56" s="30" t="s">
        <v>98</v>
      </c>
      <c r="C56" s="29" t="s">
        <v>70</v>
      </c>
      <c r="D56" s="31">
        <f>ROUND((4.725*1)+(2.38*1)+(22*2.48)+(22*3.75)+(10*0.65),3)</f>
        <v>150.66499999999999</v>
      </c>
      <c r="E56" s="30" t="s">
        <v>99</v>
      </c>
      <c r="F56" s="47"/>
      <c r="G56" s="37"/>
      <c r="H56" s="47"/>
      <c r="I56" s="47"/>
      <c r="J56" s="47"/>
    </row>
    <row r="57" ht="60" outlineLevel="1">
      <c r="A57" s="29">
        <f t="shared" si="15"/>
        <v>41</v>
      </c>
      <c r="B57" s="30" t="s">
        <v>100</v>
      </c>
      <c r="C57" s="29" t="s">
        <v>70</v>
      </c>
      <c r="D57" s="31">
        <f>D56</f>
        <v>150.66499999999999</v>
      </c>
      <c r="E57" s="30" t="str">
        <f>E56</f>
        <v xml:space="preserve">Плиты ПТ 63.15-8 ЛК - 1шт (4,725тн; 1,89м3)
Плиты ПТ 63.07 - 1шт (2,38тн; 0,95м3)
Лотки Л15-11 - 24шт (2,48тн; 0,99м3)
Лотки Л17-11 - 24шт (3,75тн; 1,5м3)
опорные подушки ОП-8 - 10шт (0,65тн; 0,26м3)</v>
      </c>
      <c r="F57" s="47"/>
      <c r="G57" s="37"/>
      <c r="H57" s="47"/>
      <c r="I57" s="47"/>
      <c r="J57" s="47"/>
    </row>
    <row r="58">
      <c r="A58" s="28" t="s">
        <v>101</v>
      </c>
      <c r="B58" s="28"/>
      <c r="C58" s="28"/>
      <c r="D58" s="28"/>
      <c r="E58" s="28"/>
    </row>
    <row r="59" ht="24" outlineLevel="1">
      <c r="A59" s="29">
        <f>A57+1</f>
        <v>42</v>
      </c>
      <c r="B59" s="30" t="s">
        <v>102</v>
      </c>
      <c r="C59" s="29" t="s">
        <v>103</v>
      </c>
      <c r="D59" s="31">
        <f>ROUND(((3.68+0.2)*0.1*27),1)</f>
        <v>10.5</v>
      </c>
      <c r="E59" s="30" t="s">
        <v>104</v>
      </c>
      <c r="F59" s="42"/>
    </row>
    <row r="60" ht="48" outlineLevel="1">
      <c r="A60" s="29">
        <f t="shared" ref="A60:A63" si="16">A59+1</f>
        <v>43</v>
      </c>
      <c r="B60" s="30" t="s">
        <v>105</v>
      </c>
      <c r="C60" s="29" t="s">
        <v>106</v>
      </c>
      <c r="D60" s="29">
        <f>ROUND((0.99*22)+(1.5*22)+(0.26*10),1)</f>
        <v>57.400000000000006</v>
      </c>
      <c r="E60" s="30" t="s">
        <v>188</v>
      </c>
      <c r="F60" s="42"/>
    </row>
    <row r="61" ht="24" outlineLevel="1">
      <c r="A61" s="29">
        <f t="shared" si="16"/>
        <v>44</v>
      </c>
      <c r="B61" s="30" t="s">
        <v>108</v>
      </c>
      <c r="C61" s="29" t="s">
        <v>19</v>
      </c>
      <c r="D61" s="29">
        <f>ROUND((((1.6*2)+(0.6*4)+(2.05*2)+2.96)*22)*0.002,2)</f>
        <v>0.56000000000000005</v>
      </c>
      <c r="E61" s="30"/>
      <c r="F61" s="42"/>
    </row>
    <row r="62" ht="24" outlineLevel="1">
      <c r="A62" s="29">
        <f t="shared" si="16"/>
        <v>45</v>
      </c>
      <c r="B62" s="30" t="s">
        <v>109</v>
      </c>
      <c r="C62" s="29" t="s">
        <v>110</v>
      </c>
      <c r="D62" s="36">
        <f>ROUND(88*0.0029,3)</f>
        <v>0.255</v>
      </c>
      <c r="E62" s="30"/>
      <c r="F62" s="42"/>
    </row>
    <row r="63" ht="24" outlineLevel="1">
      <c r="A63" s="29">
        <f t="shared" si="16"/>
        <v>46</v>
      </c>
      <c r="B63" s="30" t="s">
        <v>111</v>
      </c>
      <c r="C63" s="29" t="s">
        <v>112</v>
      </c>
      <c r="D63" s="31">
        <f>((2.96*3)+(2.05*4)+(1.84*4))*0.25*22</f>
        <v>134.41999999999999</v>
      </c>
      <c r="E63" s="30"/>
      <c r="F63" s="35"/>
    </row>
    <row r="64">
      <c r="A64" s="28" t="s">
        <v>16</v>
      </c>
      <c r="B64" s="28"/>
      <c r="C64" s="28"/>
      <c r="D64" s="28"/>
      <c r="E64" s="28"/>
    </row>
    <row r="65" ht="25.5">
      <c r="A65" s="29">
        <f>A63+1</f>
        <v>47</v>
      </c>
      <c r="B65" s="30" t="s">
        <v>113</v>
      </c>
      <c r="C65" s="29" t="s">
        <v>19</v>
      </c>
      <c r="D65" s="44">
        <f>ROUND(7.4*8.6*0.15,2)</f>
        <v>9.5500000000000007</v>
      </c>
      <c r="E65" s="30"/>
    </row>
    <row r="66" ht="25.5">
      <c r="A66" s="29">
        <f t="shared" ref="A66:A70" si="17">A65+1</f>
        <v>48</v>
      </c>
      <c r="B66" s="30" t="s">
        <v>114</v>
      </c>
      <c r="C66" s="29" t="s">
        <v>19</v>
      </c>
      <c r="D66" s="44">
        <f>ROUND(7.4*8.6*0.1,2)</f>
        <v>6.3600000000000003</v>
      </c>
      <c r="E66" s="30"/>
    </row>
    <row r="67" ht="191.25">
      <c r="A67" s="29">
        <f t="shared" si="17"/>
        <v>49</v>
      </c>
      <c r="B67" s="30" t="s">
        <v>115</v>
      </c>
      <c r="C67" s="29" t="s">
        <v>19</v>
      </c>
      <c r="D67" s="29">
        <f>161.21+1.89+0.95</f>
        <v>164.04999999999998</v>
      </c>
      <c r="E67" s="30" t="s">
        <v>116</v>
      </c>
      <c r="I67" s="49"/>
    </row>
    <row r="68" ht="63.75">
      <c r="A68" s="29">
        <f t="shared" si="17"/>
        <v>50</v>
      </c>
      <c r="B68" s="30" t="s">
        <v>117</v>
      </c>
      <c r="C68" s="29" t="s">
        <v>31</v>
      </c>
      <c r="D68" s="44">
        <v>0.11</v>
      </c>
      <c r="E68" s="30" t="s">
        <v>118</v>
      </c>
      <c r="I68" s="49"/>
    </row>
    <row r="69" ht="63.75">
      <c r="A69" s="29">
        <f t="shared" si="17"/>
        <v>51</v>
      </c>
      <c r="B69" s="30" t="s">
        <v>119</v>
      </c>
      <c r="C69" s="29" t="s">
        <v>31</v>
      </c>
      <c r="D69" s="44">
        <f>D68</f>
        <v>0.11</v>
      </c>
      <c r="E69" s="30" t="str">
        <f>E68</f>
        <v xml:space="preserve">Сталь угловая: 75х75х6 мм - 0,042тн*2шт; Горячекатаная арматурная сталь гладкая класса А-I, диаметром: 18 мм - 0,011тн*2шт; Сталь листовая углеродистая обыкновенного качества марки ВСт3пс5 толщиной: 6 мм - 0,001тн*2шт
Вес наплавленного металла - 0,001тн*2шт</v>
      </c>
      <c r="I69" s="49"/>
    </row>
    <row r="70" ht="25.5">
      <c r="A70" s="29">
        <f t="shared" si="17"/>
        <v>52</v>
      </c>
      <c r="B70" s="30" t="s">
        <v>120</v>
      </c>
      <c r="C70" s="29" t="s">
        <v>29</v>
      </c>
      <c r="D70" s="29">
        <f>2.7675*2</f>
        <v>5.5350000000000001</v>
      </c>
      <c r="E70" s="30"/>
    </row>
    <row r="71">
      <c r="A71" s="28" t="s">
        <v>17</v>
      </c>
      <c r="B71" s="28"/>
      <c r="C71" s="28"/>
      <c r="D71" s="28"/>
      <c r="E71" s="28"/>
    </row>
    <row r="72" ht="25.5">
      <c r="A72" s="50">
        <f>A70+1</f>
        <v>53</v>
      </c>
      <c r="B72" s="30" t="s">
        <v>113</v>
      </c>
      <c r="C72" s="29" t="s">
        <v>19</v>
      </c>
      <c r="D72" s="51">
        <f>6*6*0.15</f>
        <v>5.3999999999999995</v>
      </c>
      <c r="E72" s="40"/>
    </row>
    <row r="73" ht="25.5">
      <c r="A73" s="50">
        <f t="shared" ref="A73:A77" si="18">A72+1</f>
        <v>54</v>
      </c>
      <c r="B73" s="30" t="s">
        <v>114</v>
      </c>
      <c r="C73" s="29" t="s">
        <v>19</v>
      </c>
      <c r="D73" s="51">
        <f>6*6*0.1</f>
        <v>3.6000000000000001</v>
      </c>
      <c r="E73" s="40"/>
    </row>
    <row r="74" ht="153">
      <c r="A74" s="50">
        <f t="shared" si="18"/>
        <v>55</v>
      </c>
      <c r="B74" s="30" t="s">
        <v>115</v>
      </c>
      <c r="C74" s="29" t="s">
        <v>19</v>
      </c>
      <c r="D74" s="51">
        <f>((5.8*5.8*0.4)+((3.3*5.8*0.4)-(1.3*1.3*0.4))+(5.8*3.3*0.4*3)-(0.2*0.2*0.4))+0.57*2+0.96*2+0.77*2+0.65</f>
        <v>48.637999999999998</v>
      </c>
      <c r="E74" s="40" t="s">
        <v>121</v>
      </c>
    </row>
    <row r="75" ht="63.75">
      <c r="A75" s="29">
        <f t="shared" si="18"/>
        <v>56</v>
      </c>
      <c r="B75" s="30" t="s">
        <v>117</v>
      </c>
      <c r="C75" s="29" t="s">
        <v>31</v>
      </c>
      <c r="D75" s="44">
        <v>0.22</v>
      </c>
      <c r="E75" s="30" t="s">
        <v>122</v>
      </c>
    </row>
    <row r="76" ht="63.75">
      <c r="A76" s="29">
        <f t="shared" si="18"/>
        <v>57</v>
      </c>
      <c r="B76" s="30" t="s">
        <v>119</v>
      </c>
      <c r="C76" s="29" t="s">
        <v>31</v>
      </c>
      <c r="D76" s="44">
        <f>D75</f>
        <v>0.22</v>
      </c>
      <c r="E76" s="30" t="str">
        <f>E75</f>
        <v xml:space="preserve">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</v>
      </c>
    </row>
    <row r="77" ht="25.5">
      <c r="A77" s="29">
        <f t="shared" si="18"/>
        <v>58</v>
      </c>
      <c r="B77" s="30" t="s">
        <v>120</v>
      </c>
      <c r="C77" s="29" t="s">
        <v>29</v>
      </c>
      <c r="D77" s="29">
        <f>2.7675*4</f>
        <v>11.07</v>
      </c>
      <c r="E77" s="30"/>
    </row>
    <row r="78">
      <c r="A78" s="28" t="s">
        <v>123</v>
      </c>
      <c r="B78" s="28"/>
      <c r="C78" s="28"/>
      <c r="D78" s="28"/>
      <c r="E78" s="28"/>
    </row>
    <row r="79" ht="191.25" outlineLevel="1">
      <c r="A79" s="38">
        <f>A77+1</f>
        <v>59</v>
      </c>
      <c r="B79" s="30" t="s">
        <v>124</v>
      </c>
      <c r="C79" s="29" t="s">
        <v>57</v>
      </c>
      <c r="D79" s="31">
        <f>ROUND(75.95+(4*2.12)+(4*0.457),1)</f>
        <v>86.300000000000011</v>
      </c>
      <c r="E79" s="30" t="s">
        <v>125</v>
      </c>
    </row>
    <row r="80" ht="38.25" outlineLevel="1">
      <c r="A80" s="38">
        <f t="shared" ref="A80:A84" si="19">A79+1</f>
        <v>60</v>
      </c>
      <c r="B80" s="30" t="s">
        <v>126</v>
      </c>
      <c r="C80" s="29" t="s">
        <v>110</v>
      </c>
      <c r="D80" s="36">
        <f>10*0.069+0.2622*8</f>
        <v>2.7875999999999999</v>
      </c>
      <c r="E80" s="30" t="s">
        <v>127</v>
      </c>
    </row>
    <row r="81" ht="25.5" outlineLevel="1">
      <c r="A81" s="38">
        <f t="shared" si="19"/>
        <v>61</v>
      </c>
      <c r="B81" s="30" t="s">
        <v>128</v>
      </c>
      <c r="C81" s="29" t="s">
        <v>129</v>
      </c>
      <c r="D81" s="36">
        <f>ROUND(4*0.249,3)</f>
        <v>0.996</v>
      </c>
      <c r="E81" s="30" t="s">
        <v>130</v>
      </c>
    </row>
    <row r="82" ht="76.5" outlineLevel="1">
      <c r="A82" s="38">
        <f t="shared" si="19"/>
        <v>62</v>
      </c>
      <c r="B82" s="30" t="s">
        <v>131</v>
      </c>
      <c r="C82" s="29" t="s">
        <v>57</v>
      </c>
      <c r="D82" s="113">
        <f>ROUND(12+2*0.707,1)</f>
        <v>13.4</v>
      </c>
      <c r="E82" s="40" t="s">
        <v>132</v>
      </c>
    </row>
    <row r="83" ht="25.5" outlineLevel="1">
      <c r="A83" s="38">
        <f t="shared" si="19"/>
        <v>63</v>
      </c>
      <c r="B83" s="30" t="s">
        <v>133</v>
      </c>
      <c r="C83" s="29" t="s">
        <v>49</v>
      </c>
      <c r="D83" s="113">
        <v>2</v>
      </c>
      <c r="E83" s="40" t="s">
        <v>134</v>
      </c>
    </row>
    <row r="84" ht="25.5" outlineLevel="1">
      <c r="A84" s="38">
        <f t="shared" si="19"/>
        <v>64</v>
      </c>
      <c r="B84" s="30" t="s">
        <v>135</v>
      </c>
      <c r="C84" s="29" t="s">
        <v>57</v>
      </c>
      <c r="D84" s="113">
        <v>10</v>
      </c>
      <c r="E84" s="40" t="s">
        <v>136</v>
      </c>
    </row>
    <row r="85">
      <c r="A85" s="28" t="s">
        <v>137</v>
      </c>
      <c r="B85" s="28"/>
      <c r="C85" s="28"/>
      <c r="D85" s="28"/>
      <c r="E85" s="28"/>
    </row>
    <row r="86" ht="38.25" outlineLevel="1">
      <c r="A86" s="38">
        <f>A84+1</f>
        <v>65</v>
      </c>
      <c r="B86" s="30" t="s">
        <v>138</v>
      </c>
      <c r="C86" s="29" t="s">
        <v>139</v>
      </c>
      <c r="D86" s="29">
        <v>16</v>
      </c>
      <c r="E86" s="30"/>
    </row>
    <row r="87" ht="38.25" outlineLevel="1">
      <c r="A87" s="38">
        <f t="shared" ref="A87:A88" si="20">A86+1</f>
        <v>66</v>
      </c>
      <c r="B87" s="30" t="s">
        <v>140</v>
      </c>
      <c r="C87" s="29" t="s">
        <v>139</v>
      </c>
      <c r="D87" s="29">
        <v>12</v>
      </c>
      <c r="E87" s="30"/>
    </row>
    <row r="88" ht="25.5" outlineLevel="1">
      <c r="A88" s="38">
        <f t="shared" si="20"/>
        <v>67</v>
      </c>
      <c r="B88" s="30" t="s">
        <v>141</v>
      </c>
      <c r="C88" s="29" t="s">
        <v>49</v>
      </c>
      <c r="D88" s="29">
        <v>4</v>
      </c>
      <c r="E88" s="30"/>
    </row>
    <row r="89">
      <c r="A89" s="28" t="s">
        <v>142</v>
      </c>
      <c r="B89" s="28"/>
      <c r="C89" s="28"/>
      <c r="D89" s="28"/>
      <c r="E89" s="28"/>
    </row>
    <row r="90">
      <c r="A90" s="28" t="s">
        <v>143</v>
      </c>
      <c r="B90" s="28"/>
      <c r="C90" s="28"/>
      <c r="D90" s="28"/>
      <c r="E90" s="28"/>
      <c r="F90" s="42"/>
    </row>
    <row r="91" ht="38.25" outlineLevel="1">
      <c r="A91" s="38">
        <f>A88+1</f>
        <v>68</v>
      </c>
      <c r="B91" s="30" t="s">
        <v>144</v>
      </c>
      <c r="C91" s="29" t="s">
        <v>145</v>
      </c>
      <c r="D91" s="44">
        <f>ROUND(1.02*PI()*0.2*D86,2)</f>
        <v>10.25</v>
      </c>
      <c r="E91" s="30"/>
      <c r="F91" s="35"/>
    </row>
    <row r="92" ht="102" outlineLevel="1">
      <c r="A92" s="38">
        <f t="shared" ref="A92:A97" si="21">A91+1</f>
        <v>69</v>
      </c>
      <c r="B92" s="30" t="s">
        <v>146</v>
      </c>
      <c r="C92" s="29" t="s">
        <v>147</v>
      </c>
      <c r="D92" s="31">
        <f>ROUND(1.02*PI()*(D79),1)</f>
        <v>276.5</v>
      </c>
      <c r="E92" s="30"/>
      <c r="F92" s="35"/>
    </row>
    <row r="93" ht="127.5" outlineLevel="1">
      <c r="A93" s="38">
        <f t="shared" si="21"/>
        <v>70</v>
      </c>
      <c r="B93" s="30" t="s">
        <v>148</v>
      </c>
      <c r="C93" s="29" t="s">
        <v>149</v>
      </c>
      <c r="D93" s="31">
        <f>ROUND((1.02+(0.1/1))*(0.1/1)*(D79)*PI(),1)</f>
        <v>30.400000000000002</v>
      </c>
      <c r="E93" s="30"/>
      <c r="F93" s="32"/>
      <c r="G93" s="32"/>
      <c r="H93" s="32"/>
      <c r="I93" s="32"/>
      <c r="J93" s="32"/>
    </row>
    <row r="94" ht="63.75" outlineLevel="1">
      <c r="A94" s="38">
        <f t="shared" si="21"/>
        <v>71</v>
      </c>
      <c r="B94" s="30" t="s">
        <v>150</v>
      </c>
      <c r="C94" s="29" t="s">
        <v>151</v>
      </c>
      <c r="D94" s="31">
        <f>ROUND((1.02+(0.16/1))*PI()*(D79),1)</f>
        <v>319.90000000000003</v>
      </c>
      <c r="E94" s="30"/>
      <c r="F94" s="55"/>
      <c r="G94" s="55"/>
      <c r="H94" s="55"/>
      <c r="I94" s="55"/>
      <c r="J94" s="55"/>
    </row>
    <row r="95" ht="63.75" outlineLevel="1">
      <c r="A95" s="56">
        <f t="shared" si="21"/>
        <v>72</v>
      </c>
      <c r="B95" s="57" t="s">
        <v>152</v>
      </c>
      <c r="C95" s="58" t="str">
        <f>C94</f>
        <v xml:space="preserve">м2 поверхности покрытия изоляции</v>
      </c>
      <c r="D95" s="31">
        <f>ROUND((1.02+(0.16/1))*PI()*(D79),1)</f>
        <v>319.90000000000003</v>
      </c>
      <c r="E95" s="30"/>
      <c r="F95" s="55"/>
      <c r="G95" s="55"/>
      <c r="H95" s="55"/>
      <c r="I95" s="55"/>
      <c r="J95" s="55"/>
    </row>
    <row r="96" ht="89.25" outlineLevel="1">
      <c r="A96" s="38">
        <f t="shared" si="21"/>
        <v>73</v>
      </c>
      <c r="B96" s="30" t="s">
        <v>153</v>
      </c>
      <c r="C96" s="29" t="s">
        <v>31</v>
      </c>
      <c r="D96" s="36">
        <f>((((1.02+(0.16/1))*PI())+0.1)*((D79)*4+6*2))*0.02*6.2/1000</f>
        <v>0.16862620340256795</v>
      </c>
      <c r="E96" s="30"/>
      <c r="F96" s="55"/>
      <c r="G96" s="55"/>
      <c r="H96" s="55"/>
      <c r="I96" s="55"/>
      <c r="J96" s="55"/>
    </row>
    <row r="97" ht="25.5" outlineLevel="1">
      <c r="A97" s="38">
        <f t="shared" si="21"/>
        <v>74</v>
      </c>
      <c r="B97" s="30" t="s">
        <v>154</v>
      </c>
      <c r="C97" s="29" t="s">
        <v>31</v>
      </c>
      <c r="D97" s="36">
        <f>(((1.02+(0.16/1))*PI())+0.1)*(D79)*7*0.0312/1000</f>
        <v>0.071755526668788802</v>
      </c>
      <c r="E97" s="30"/>
      <c r="F97" s="55"/>
      <c r="G97" s="55"/>
      <c r="H97" s="55"/>
      <c r="I97" s="55"/>
      <c r="J97" s="55"/>
    </row>
    <row r="98">
      <c r="A98" s="28" t="s">
        <v>155</v>
      </c>
      <c r="B98" s="28"/>
      <c r="C98" s="28"/>
      <c r="D98" s="28"/>
      <c r="E98" s="28"/>
    </row>
    <row r="99">
      <c r="A99" s="28" t="s">
        <v>156</v>
      </c>
      <c r="B99" s="28"/>
      <c r="C99" s="28"/>
      <c r="D99" s="28"/>
      <c r="E99" s="28"/>
      <c r="F99" s="35"/>
    </row>
    <row r="100" ht="38.25" outlineLevel="1">
      <c r="A100" s="38">
        <f>A97+1</f>
        <v>75</v>
      </c>
      <c r="B100" s="30" t="s">
        <v>157</v>
      </c>
      <c r="C100" s="29" t="s">
        <v>158</v>
      </c>
      <c r="D100" s="31">
        <f>(K101+K102+L13+M13)-(1.68*D108)-(D106*0.37)</f>
        <v>981.44581500000004</v>
      </c>
      <c r="E100" s="30"/>
      <c r="F100" s="32"/>
      <c r="G100" s="60"/>
      <c r="H100" s="60"/>
      <c r="I100" s="60"/>
      <c r="J100" s="60"/>
      <c r="O100" s="98"/>
      <c r="P100" s="41"/>
    </row>
    <row r="101" ht="25.5" outlineLevel="1">
      <c r="A101" s="38">
        <f t="shared" ref="A101:A103" si="22">A100+1</f>
        <v>76</v>
      </c>
      <c r="B101" s="30" t="s">
        <v>159</v>
      </c>
      <c r="C101" s="29" t="s">
        <v>158</v>
      </c>
      <c r="D101" s="31">
        <f>ROUND(D100*0.03/0.97,1)</f>
        <v>30.400000000000002</v>
      </c>
      <c r="E101" s="30"/>
      <c r="F101" s="35"/>
      <c r="O101" s="98"/>
    </row>
    <row r="102" outlineLevel="1">
      <c r="A102" s="38">
        <f t="shared" si="22"/>
        <v>77</v>
      </c>
      <c r="B102" s="30" t="s">
        <v>160</v>
      </c>
      <c r="C102" s="29" t="s">
        <v>19</v>
      </c>
      <c r="D102" s="31">
        <f>D100</f>
        <v>981.44581500000004</v>
      </c>
      <c r="E102" s="30"/>
      <c r="F102" s="35"/>
      <c r="O102" s="98"/>
    </row>
    <row r="103" ht="38.25" outlineLevel="1">
      <c r="A103" s="38">
        <f t="shared" si="22"/>
        <v>78</v>
      </c>
      <c r="B103" s="30" t="s">
        <v>161</v>
      </c>
      <c r="C103" s="29" t="s">
        <v>19</v>
      </c>
      <c r="D103" s="31">
        <f>D100</f>
        <v>981.44581500000004</v>
      </c>
      <c r="E103" s="30"/>
      <c r="O103" s="98"/>
    </row>
    <row r="104">
      <c r="A104" s="28" t="s">
        <v>162</v>
      </c>
      <c r="B104" s="28"/>
      <c r="C104" s="28"/>
      <c r="D104" s="28"/>
      <c r="E104" s="28"/>
      <c r="F104" s="42"/>
    </row>
    <row r="105" ht="38.25" outlineLevel="1">
      <c r="A105" s="38">
        <f>A103+1</f>
        <v>79</v>
      </c>
      <c r="B105" s="30" t="s">
        <v>163</v>
      </c>
      <c r="C105" s="29" t="s">
        <v>164</v>
      </c>
      <c r="D105" s="36">
        <f>D106*0.25</f>
        <v>43.625</v>
      </c>
      <c r="E105" s="30"/>
      <c r="F105" s="42"/>
    </row>
    <row r="106" ht="89.25" outlineLevel="1">
      <c r="A106" s="29">
        <f t="shared" ref="A106:A113" si="23">A105+1</f>
        <v>80</v>
      </c>
      <c r="B106" s="30" t="s">
        <v>165</v>
      </c>
      <c r="C106" s="29" t="s">
        <v>166</v>
      </c>
      <c r="D106" s="31">
        <v>174.5</v>
      </c>
      <c r="E106" s="30" t="s">
        <v>167</v>
      </c>
      <c r="F106" s="61"/>
      <c r="G106" s="62"/>
      <c r="H106" s="62"/>
      <c r="I106" s="62"/>
      <c r="J106" s="62"/>
    </row>
    <row r="107" ht="89.25" outlineLevel="1">
      <c r="A107" s="29">
        <f t="shared" si="23"/>
        <v>81</v>
      </c>
      <c r="B107" s="30" t="s">
        <v>168</v>
      </c>
      <c r="C107" s="29" t="s">
        <v>166</v>
      </c>
      <c r="D107" s="31">
        <f>D106</f>
        <v>174.5</v>
      </c>
      <c r="E107" s="30" t="s">
        <v>169</v>
      </c>
      <c r="F107" s="61"/>
      <c r="G107" s="62"/>
      <c r="H107" s="62"/>
      <c r="I107" s="62"/>
      <c r="J107" s="62"/>
    </row>
    <row r="108" ht="25.5" outlineLevel="1">
      <c r="A108" s="29">
        <f t="shared" si="23"/>
        <v>82</v>
      </c>
      <c r="B108" s="30" t="s">
        <v>170</v>
      </c>
      <c r="C108" s="29" t="s">
        <v>49</v>
      </c>
      <c r="D108" s="31">
        <v>4</v>
      </c>
      <c r="E108" s="30" t="s">
        <v>171</v>
      </c>
      <c r="F108" s="61"/>
      <c r="G108" s="62"/>
      <c r="H108" s="62"/>
      <c r="I108" s="62"/>
      <c r="J108" s="62"/>
    </row>
    <row r="109" ht="25.5" outlineLevel="1">
      <c r="A109" s="29">
        <f t="shared" si="23"/>
        <v>83</v>
      </c>
      <c r="B109" s="30" t="s">
        <v>172</v>
      </c>
      <c r="C109" s="29" t="s">
        <v>49</v>
      </c>
      <c r="D109" s="31">
        <f>D108</f>
        <v>4</v>
      </c>
      <c r="E109" s="30" t="str">
        <f>E108</f>
        <v xml:space="preserve">Плита дорожная ПДН - 4,20тн; 1,68м3 (на 1 ед.) 6,72м3
Сталь арматурная Ø12мм-АIII по ГОСТ 5781-82 - 0,14тн (на 1 ед.)</v>
      </c>
      <c r="F109" s="61"/>
      <c r="G109" s="62"/>
      <c r="H109" s="62"/>
      <c r="I109" s="62"/>
      <c r="J109" s="62"/>
    </row>
    <row r="110" outlineLevel="1">
      <c r="A110" s="29">
        <f t="shared" si="23"/>
        <v>84</v>
      </c>
      <c r="B110" s="30" t="s">
        <v>173</v>
      </c>
      <c r="C110" s="29" t="s">
        <v>31</v>
      </c>
      <c r="D110" s="36">
        <v>0.44800000000000001</v>
      </c>
      <c r="E110" s="30" t="s">
        <v>174</v>
      </c>
      <c r="F110" s="61"/>
      <c r="G110" s="62"/>
      <c r="H110" s="62"/>
      <c r="I110" s="62"/>
      <c r="J110" s="62"/>
    </row>
    <row r="111" ht="25.5" outlineLevel="1">
      <c r="A111" s="29">
        <f t="shared" si="23"/>
        <v>85</v>
      </c>
      <c r="B111" s="30" t="s">
        <v>175</v>
      </c>
      <c r="C111" s="29" t="s">
        <v>31</v>
      </c>
      <c r="D111" s="36">
        <f>D110</f>
        <v>0.44800000000000001</v>
      </c>
      <c r="E111" s="30" t="str">
        <f>E110</f>
        <v xml:space="preserve">1 секция забора - 0,064тн - 4м (всего 7 секций)</v>
      </c>
      <c r="F111" s="61"/>
      <c r="G111" s="62"/>
      <c r="H111" s="62"/>
      <c r="I111" s="62"/>
      <c r="J111" s="62"/>
    </row>
    <row r="112" outlineLevel="1">
      <c r="A112" s="29">
        <f t="shared" si="23"/>
        <v>86</v>
      </c>
      <c r="B112" s="30" t="s">
        <v>176</v>
      </c>
      <c r="C112" s="29" t="s">
        <v>57</v>
      </c>
      <c r="D112" s="36">
        <v>2.5059999999999998</v>
      </c>
      <c r="E112" s="30"/>
      <c r="F112" s="61"/>
      <c r="G112" s="62"/>
      <c r="H112" s="62"/>
      <c r="I112" s="62"/>
      <c r="J112" s="62"/>
    </row>
    <row r="113" ht="25.5" outlineLevel="1">
      <c r="A113" s="29">
        <f t="shared" si="23"/>
        <v>87</v>
      </c>
      <c r="B113" s="30" t="s">
        <v>108</v>
      </c>
      <c r="C113" s="29" t="s">
        <v>19</v>
      </c>
      <c r="D113" s="44">
        <v>0.34000000000000002</v>
      </c>
      <c r="E113" s="30"/>
      <c r="F113" s="61"/>
      <c r="G113" s="62"/>
      <c r="H113" s="62"/>
      <c r="I113" s="62"/>
      <c r="J113" s="62"/>
    </row>
    <row r="114">
      <c r="A114" s="28" t="s">
        <v>177</v>
      </c>
      <c r="B114" s="28"/>
      <c r="C114" s="28"/>
      <c r="D114" s="28"/>
      <c r="E114" s="28"/>
    </row>
    <row r="115" ht="51" outlineLevel="1">
      <c r="A115" s="29">
        <f>A113+1</f>
        <v>88</v>
      </c>
      <c r="B115" s="30" t="s">
        <v>178</v>
      </c>
      <c r="C115" s="29" t="s">
        <v>29</v>
      </c>
      <c r="D115" s="29">
        <v>69.090000000000003</v>
      </c>
      <c r="E115" s="30"/>
      <c r="F115" s="46"/>
      <c r="G115" s="55"/>
      <c r="H115" s="55"/>
      <c r="I115" s="55"/>
      <c r="J115" s="55"/>
    </row>
    <row r="116" ht="38.25" outlineLevel="1">
      <c r="A116" s="29">
        <f>A115+1</f>
        <v>89</v>
      </c>
      <c r="B116" s="30" t="s">
        <v>179</v>
      </c>
      <c r="C116" s="29" t="s">
        <v>29</v>
      </c>
      <c r="D116" s="29">
        <f>D115</f>
        <v>69.090000000000003</v>
      </c>
      <c r="E116" s="30"/>
      <c r="F116" s="55"/>
      <c r="G116" s="55"/>
      <c r="H116" s="55"/>
      <c r="I116" s="55"/>
      <c r="J116" s="55"/>
    </row>
    <row r="118" ht="121.5" customHeight="1">
      <c r="A118" s="15" t="s">
        <v>180</v>
      </c>
      <c r="B118" s="15"/>
      <c r="C118" s="15"/>
      <c r="D118" s="15"/>
      <c r="E118" s="15"/>
    </row>
    <row r="120">
      <c r="A120" s="65"/>
      <c r="B120" s="65"/>
      <c r="C120" s="65"/>
    </row>
    <row r="122" ht="15" customHeight="1">
      <c r="A122" s="66"/>
      <c r="B122" s="66"/>
      <c r="C122" s="66"/>
      <c r="D122" s="67"/>
      <c r="E122" s="66"/>
    </row>
    <row r="123" s="68" customFormat="1" ht="15">
      <c r="A123" s="67"/>
      <c r="B123" s="66"/>
      <c r="C123" s="66"/>
      <c r="D123" s="67"/>
      <c r="E123" s="66"/>
      <c r="F123" s="69"/>
      <c r="G123" s="70"/>
      <c r="O123" s="114"/>
      <c r="P123" s="115"/>
    </row>
    <row r="124" s="71" customFormat="1" ht="15" customHeight="1">
      <c r="A124" s="72"/>
      <c r="B124" s="73"/>
      <c r="C124" s="74"/>
      <c r="D124" s="74"/>
      <c r="E124" s="75"/>
      <c r="F124" s="76"/>
      <c r="G124" s="77"/>
      <c r="O124" s="116"/>
      <c r="P124" s="117"/>
    </row>
    <row r="125" s="78" customFormat="1" ht="15">
      <c r="A125" s="79"/>
      <c r="B125" s="79"/>
      <c r="C125" s="80"/>
      <c r="D125" s="81"/>
      <c r="E125" s="82"/>
      <c r="F125" s="83"/>
      <c r="G125" s="84"/>
      <c r="O125" s="118"/>
      <c r="P125" s="119"/>
    </row>
    <row r="126" s="78" customFormat="1" ht="15">
      <c r="A126" s="85"/>
      <c r="B126" s="86"/>
      <c r="C126" s="87"/>
      <c r="D126" s="87"/>
      <c r="E126" s="88"/>
      <c r="F126" s="83"/>
      <c r="G126" s="84"/>
      <c r="O126" s="118"/>
      <c r="P126" s="119"/>
    </row>
    <row r="127" ht="15">
      <c r="A127" s="89"/>
      <c r="B127" s="90"/>
      <c r="C127" s="91"/>
      <c r="D127" s="91"/>
      <c r="E127" s="92"/>
    </row>
    <row r="128">
      <c r="A128" s="93"/>
      <c r="B128" s="94"/>
      <c r="C128" s="94"/>
      <c r="D128" s="93"/>
      <c r="E128" s="95"/>
    </row>
    <row r="129">
      <c r="A129" s="94"/>
      <c r="B129" s="94"/>
      <c r="C129" s="94"/>
      <c r="D129" s="96"/>
      <c r="E129" s="95"/>
    </row>
  </sheetData>
  <mergeCells count="24">
    <mergeCell ref="A2:E2"/>
    <mergeCell ref="A8:E8"/>
    <mergeCell ref="A9:E9"/>
    <mergeCell ref="A12:E12"/>
    <mergeCell ref="A23:E23"/>
    <mergeCell ref="A24:E24"/>
    <mergeCell ref="A28:E28"/>
    <mergeCell ref="A36:E36"/>
    <mergeCell ref="A58:E58"/>
    <mergeCell ref="A64:E64"/>
    <mergeCell ref="A71:E71"/>
    <mergeCell ref="A78:E78"/>
    <mergeCell ref="A85:E85"/>
    <mergeCell ref="A89:E89"/>
    <mergeCell ref="A90:E90"/>
    <mergeCell ref="A98:E98"/>
    <mergeCell ref="A99:E99"/>
    <mergeCell ref="A104:E104"/>
    <mergeCell ref="A114:E114"/>
    <mergeCell ref="A118:E118"/>
    <mergeCell ref="A120:C120"/>
    <mergeCell ref="A122:C122"/>
    <mergeCell ref="A125:B125"/>
    <mergeCell ref="A129:C129"/>
  </mergeCells>
  <printOptions headings="0" gridLines="0"/>
  <pageMargins left="0.51000000000000023" right="0.39370078740157477" top="0.3600000000000001" bottom="0.46000000000000008" header="0" footer="0.19685039370078738"/>
  <pageSetup paperSize="9" scale="7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&amp;R&amp;"Times New Roman,Regular "Страница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95" zoomScale="100" workbookViewId="0">
      <selection activeCell="D114" activeCellId="0" sqref="D114"/>
    </sheetView>
  </sheetViews>
  <sheetFormatPr defaultColWidth="9.140625" defaultRowHeight="12.75" outlineLevelRow="1"/>
  <cols>
    <col customWidth="1" min="1" max="1" style="2" width="4.42578125"/>
    <col customWidth="1" min="2" max="2" style="3" width="40.85546875"/>
    <col customWidth="1" min="3" max="3" style="4" width="14.85546875"/>
    <col customWidth="1" min="4" max="4" style="4" width="10.85546875"/>
    <col customWidth="1" min="5" max="5" style="5" width="63.28515625"/>
    <col customWidth="1" min="6" max="6" style="6" width="20.5703125"/>
    <col customWidth="1" min="7" max="7" style="7" width="9.140625"/>
    <col customWidth="1" min="8" max="8" style="1" width="11.140625"/>
    <col customWidth="1" min="9" max="10" style="1" width="10"/>
    <col customWidth="1" min="11" max="12" style="1" width="9.140625"/>
    <col customWidth="1" min="13" max="13" style="1" width="17"/>
    <col customWidth="1" min="14" max="14" style="1" width="9.140625"/>
    <col customWidth="1" min="15" max="15" style="97" width="15.28515625"/>
    <col customWidth="1" min="16" max="16" style="98" width="16.28515625"/>
    <col customWidth="1" min="17" max="23" style="1" width="9.140625"/>
    <col min="24" max="16384" style="1" width="9.140625"/>
  </cols>
  <sheetData>
    <row r="1">
      <c r="A1" s="99"/>
      <c r="B1" s="100"/>
      <c r="C1" s="99"/>
      <c r="D1" s="101"/>
      <c r="E1" s="1"/>
      <c r="F1" s="49"/>
      <c r="G1" s="12"/>
      <c r="H1" s="13"/>
    </row>
    <row r="2" ht="15">
      <c r="A2" s="102" t="s">
        <v>181</v>
      </c>
      <c r="B2" s="102"/>
      <c r="C2" s="102"/>
      <c r="D2" s="102"/>
      <c r="E2" s="102"/>
      <c r="F2" s="49"/>
      <c r="G2" s="12"/>
      <c r="H2" s="13"/>
    </row>
    <row r="3">
      <c r="A3" s="103"/>
      <c r="B3" s="104"/>
      <c r="C3" s="17"/>
      <c r="D3" s="20"/>
      <c r="E3" s="105"/>
      <c r="F3" s="49"/>
      <c r="G3" s="12"/>
      <c r="H3" s="13"/>
    </row>
    <row r="4" ht="15.75">
      <c r="A4" s="106"/>
      <c r="B4" s="15"/>
      <c r="C4" s="17"/>
      <c r="D4" s="20"/>
      <c r="E4" s="107" t="s">
        <v>0</v>
      </c>
      <c r="F4" s="49"/>
      <c r="G4" s="12"/>
      <c r="H4" s="13"/>
    </row>
    <row r="5">
      <c r="A5" s="108"/>
      <c r="B5" s="15"/>
      <c r="C5" s="17"/>
      <c r="D5" s="20"/>
      <c r="E5" s="18"/>
      <c r="F5" s="49"/>
      <c r="G5" s="12"/>
      <c r="H5" s="13"/>
    </row>
    <row r="6">
      <c r="A6" s="108"/>
      <c r="B6" s="15"/>
      <c r="C6" s="17"/>
      <c r="D6" s="20"/>
      <c r="E6" s="18" t="s">
        <v>182</v>
      </c>
      <c r="F6" s="49"/>
      <c r="G6" s="12"/>
      <c r="H6" s="13"/>
    </row>
    <row r="7">
      <c r="A7" s="108"/>
      <c r="B7" s="15"/>
      <c r="C7" s="17"/>
      <c r="D7" s="20"/>
      <c r="E7" s="10" t="s">
        <v>183</v>
      </c>
      <c r="F7" s="49"/>
      <c r="G7" s="12"/>
      <c r="H7" s="13"/>
    </row>
    <row r="8" ht="39.75" customHeight="1">
      <c r="A8" s="22" t="s">
        <v>4</v>
      </c>
      <c r="B8" s="21"/>
      <c r="C8" s="21"/>
      <c r="D8" s="21"/>
      <c r="E8" s="21"/>
      <c r="G8" s="12"/>
      <c r="H8" s="13"/>
    </row>
    <row r="9" ht="60" customHeight="1">
      <c r="A9" s="109" t="s">
        <v>189</v>
      </c>
      <c r="B9" s="21"/>
      <c r="C9" s="21"/>
      <c r="D9" s="21"/>
      <c r="E9" s="21"/>
      <c r="F9" s="19"/>
      <c r="G9" s="12"/>
      <c r="H9" s="13"/>
    </row>
    <row r="10" ht="40.5" customHeight="1">
      <c r="A10" s="23" t="s">
        <v>6</v>
      </c>
      <c r="B10" s="24" t="s">
        <v>7</v>
      </c>
      <c r="C10" s="24" t="s">
        <v>8</v>
      </c>
      <c r="D10" s="24" t="s">
        <v>9</v>
      </c>
      <c r="E10" s="25" t="s">
        <v>10</v>
      </c>
      <c r="M10" s="110">
        <v>3105740.3300000001</v>
      </c>
      <c r="O10" s="111">
        <f>(SUM(O13:O24)+45422+2415+SUM(O100:O103))-3105740.33</f>
        <v>-2880925.8497772547</v>
      </c>
      <c r="S10" s="1">
        <v>1</v>
      </c>
      <c r="U10" s="1">
        <v>1</v>
      </c>
      <c r="V10" s="1">
        <v>1</v>
      </c>
    </row>
    <row r="11">
      <c r="A11" s="26">
        <v>1</v>
      </c>
      <c r="B11" s="27">
        <v>2</v>
      </c>
      <c r="C11" s="27">
        <v>3</v>
      </c>
      <c r="D11" s="27">
        <v>4</v>
      </c>
      <c r="E11" s="25">
        <v>5</v>
      </c>
      <c r="S11" s="1">
        <f>8.3-S10</f>
        <v>7.3000000000000007</v>
      </c>
      <c r="U11" s="1">
        <f>12.9-U10</f>
        <v>11.9</v>
      </c>
      <c r="V11" s="1">
        <f>7.8-V10</f>
        <v>6.7999999999999998</v>
      </c>
    </row>
    <row r="12">
      <c r="A12" s="28" t="s">
        <v>11</v>
      </c>
      <c r="B12" s="28"/>
      <c r="C12" s="28"/>
      <c r="D12" s="28"/>
      <c r="E12" s="28"/>
      <c r="G12" s="7" t="s">
        <v>12</v>
      </c>
      <c r="H12" s="1" t="s">
        <v>13</v>
      </c>
      <c r="I12" s="1" t="s">
        <v>14</v>
      </c>
      <c r="K12" s="1" t="s">
        <v>15</v>
      </c>
      <c r="L12" s="1" t="s">
        <v>16</v>
      </c>
      <c r="M12" s="1" t="s">
        <v>17</v>
      </c>
    </row>
    <row r="13" ht="127.5" outlineLevel="1">
      <c r="A13" s="29">
        <v>1</v>
      </c>
      <c r="B13" s="30" t="s">
        <v>18</v>
      </c>
      <c r="C13" s="29" t="s">
        <v>19</v>
      </c>
      <c r="D13" s="59">
        <f>K13+L13+M13</f>
        <v>1341.6511350000001</v>
      </c>
      <c r="E13" s="30" t="s">
        <v>185</v>
      </c>
      <c r="F13" s="32"/>
      <c r="G13" s="33" t="s">
        <v>21</v>
      </c>
      <c r="H13" s="34" t="s">
        <v>22</v>
      </c>
      <c r="I13" s="34" t="s">
        <v>23</v>
      </c>
      <c r="K13" s="112">
        <f>(((((4.7+S11)/2)*2.6)*26-(1.48*2*1.4*26))*0.97)</f>
        <v>288.92032</v>
      </c>
      <c r="L13" s="1">
        <f>((5.25/6*(((2*R14+R15)*S14)+((2*R15+R14)*S15)))-(4.5*3*3))*0.97</f>
        <v>813.21647500000006</v>
      </c>
      <c r="M13" s="1">
        <f>((3.4/6*(((2*U11+V11)*U11)+((2*V11+U11)*V11)))-(5.06*3.8*3))*0.97</f>
        <v>239.51434000000003</v>
      </c>
      <c r="O13" s="111">
        <f>D13/1000*114825.46</f>
        <v>154055.70873589712</v>
      </c>
      <c r="R13" s="1">
        <v>1</v>
      </c>
      <c r="S13" s="1">
        <v>1</v>
      </c>
    </row>
    <row r="14" ht="38.25" outlineLevel="1">
      <c r="A14" s="29">
        <f t="shared" ref="A14:A22" si="24">A13+1</f>
        <v>2</v>
      </c>
      <c r="B14" s="30" t="s">
        <v>24</v>
      </c>
      <c r="C14" s="29" t="s">
        <v>19</v>
      </c>
      <c r="D14" s="31">
        <f>K14</f>
        <v>8.9356799999999996</v>
      </c>
      <c r="E14" s="30" t="s">
        <v>186</v>
      </c>
      <c r="F14" s="35"/>
      <c r="K14" s="1">
        <f>(((((4.7+S11)/2)*2.6)*26-(1.48*2*1.4*26))*0.03)</f>
        <v>8.9356799999999996</v>
      </c>
      <c r="L14" s="1">
        <f>((5.25/6*(((2*R14+R15)*S14)+((2*R15+R14)*S15)))-(4.5*3*3))*0.03</f>
        <v>25.151025000000001</v>
      </c>
      <c r="M14" s="1">
        <f>((3.4/6*(((2*U11+7.8)*U11)+((2*7.8+U11)*7.8)))-(5.06*3.8*3))*0.03</f>
        <v>8.3086599999999997</v>
      </c>
      <c r="O14" s="111">
        <f>D14/100*256519.61</f>
        <v>22921.771486848</v>
      </c>
      <c r="R14" s="1">
        <f>18.3-R13</f>
        <v>17.300000000000001</v>
      </c>
      <c r="S14" s="1">
        <f>17.1-S13</f>
        <v>16.100000000000001</v>
      </c>
    </row>
    <row r="15" ht="89.25" outlineLevel="1">
      <c r="A15" s="29">
        <f t="shared" si="24"/>
        <v>3</v>
      </c>
      <c r="B15" s="30" t="s">
        <v>26</v>
      </c>
      <c r="C15" s="29" t="s">
        <v>19</v>
      </c>
      <c r="D15" s="59">
        <f>L14+M14</f>
        <v>33.459685</v>
      </c>
      <c r="E15" s="30" t="s">
        <v>187</v>
      </c>
      <c r="F15" s="35"/>
      <c r="O15" s="111"/>
      <c r="R15" s="1">
        <f>10.4-1</f>
        <v>9.4000000000000004</v>
      </c>
      <c r="S15" s="1">
        <f>9.2-1</f>
        <v>8.1999999999999993</v>
      </c>
      <c r="T15" s="1">
        <v>5.25</v>
      </c>
    </row>
    <row r="16" ht="38.25" outlineLevel="1">
      <c r="A16" s="29">
        <f t="shared" si="24"/>
        <v>4</v>
      </c>
      <c r="B16" s="30" t="s">
        <v>28</v>
      </c>
      <c r="C16" s="29" t="s">
        <v>29</v>
      </c>
      <c r="D16" s="31">
        <v>289.30000000000001</v>
      </c>
      <c r="E16" s="30"/>
      <c r="F16" s="35"/>
      <c r="J16" s="1">
        <f>((R14+R15)/2*T15*2)+((S14+S15)/2*T15*2)</f>
        <v>267.75</v>
      </c>
      <c r="O16" s="111"/>
    </row>
    <row r="17" ht="38.25" outlineLevel="1">
      <c r="A17" s="29">
        <f t="shared" si="24"/>
        <v>5</v>
      </c>
      <c r="B17" s="30" t="s">
        <v>30</v>
      </c>
      <c r="C17" s="29" t="s">
        <v>31</v>
      </c>
      <c r="D17" s="52">
        <f>ROUND((D14+D15)*1.95,3)</f>
        <v>82.671000000000006</v>
      </c>
      <c r="E17" s="30" t="s">
        <v>32</v>
      </c>
      <c r="F17" s="37"/>
      <c r="O17" s="111"/>
    </row>
    <row r="18" ht="36.75" customHeight="1" outlineLevel="1">
      <c r="A18" s="29">
        <f t="shared" si="24"/>
        <v>6</v>
      </c>
      <c r="B18" s="30" t="s">
        <v>33</v>
      </c>
      <c r="C18" s="29" t="s">
        <v>19</v>
      </c>
      <c r="D18" s="31">
        <f>((1.28*2)*0.2)*24</f>
        <v>12.288</v>
      </c>
      <c r="E18" s="30" t="s">
        <v>34</v>
      </c>
      <c r="F18" s="35"/>
      <c r="O18" s="111"/>
    </row>
    <row r="19" ht="36" customHeight="1" outlineLevel="1">
      <c r="A19" s="29">
        <f t="shared" si="24"/>
        <v>7</v>
      </c>
      <c r="B19" s="30" t="s">
        <v>35</v>
      </c>
      <c r="C19" s="29" t="s">
        <v>31</v>
      </c>
      <c r="D19" s="52">
        <f>ROUND(12.3*1.95,3)</f>
        <v>23.984999999999999</v>
      </c>
      <c r="E19" s="30" t="s">
        <v>36</v>
      </c>
      <c r="F19" s="37"/>
      <c r="O19" s="111"/>
    </row>
    <row r="20" ht="42.75" customHeight="1" outlineLevel="1">
      <c r="A20" s="29">
        <f t="shared" si="24"/>
        <v>8</v>
      </c>
      <c r="B20" s="30" t="s">
        <v>37</v>
      </c>
      <c r="C20" s="29" t="s">
        <v>31</v>
      </c>
      <c r="D20" s="52">
        <f>ROUND((D13+D14+D15+12.3)*1.95,3)</f>
        <v>2722.8760000000002</v>
      </c>
      <c r="E20" s="30" t="s">
        <v>38</v>
      </c>
      <c r="F20" s="35"/>
      <c r="O20" s="111"/>
    </row>
    <row r="21" outlineLevel="1">
      <c r="A21" s="29">
        <f t="shared" si="24"/>
        <v>9</v>
      </c>
      <c r="B21" s="30" t="s">
        <v>39</v>
      </c>
      <c r="C21" s="29" t="s">
        <v>19</v>
      </c>
      <c r="D21" s="59">
        <f>ROUND(D13+D14+D15+D18,1)</f>
        <v>1396.3000000000002</v>
      </c>
      <c r="E21" s="30" t="s">
        <v>40</v>
      </c>
      <c r="F21" s="35"/>
      <c r="O21" s="111"/>
    </row>
    <row r="22" outlineLevel="1">
      <c r="A22" s="29">
        <f t="shared" si="24"/>
        <v>10</v>
      </c>
      <c r="B22" s="30" t="s">
        <v>41</v>
      </c>
      <c r="C22" s="29" t="s">
        <v>42</v>
      </c>
      <c r="D22" s="120">
        <f>ROUND(D21*2/50,1)</f>
        <v>55.900000000000006</v>
      </c>
      <c r="E22" s="30" t="s">
        <v>43</v>
      </c>
      <c r="F22" s="35"/>
      <c r="O22" s="111"/>
    </row>
    <row r="23">
      <c r="A23" s="28" t="s">
        <v>44</v>
      </c>
      <c r="B23" s="28"/>
      <c r="C23" s="28"/>
      <c r="D23" s="28"/>
      <c r="E23" s="28"/>
      <c r="O23" s="111"/>
    </row>
    <row r="24">
      <c r="A24" s="28" t="s">
        <v>45</v>
      </c>
      <c r="B24" s="28"/>
      <c r="C24" s="28"/>
      <c r="D24" s="28"/>
      <c r="E24" s="28"/>
    </row>
    <row r="25" ht="127.5">
      <c r="A25" s="29">
        <f>A22+1</f>
        <v>11</v>
      </c>
      <c r="B25" s="30" t="s">
        <v>46</v>
      </c>
      <c r="C25" s="29" t="s">
        <v>19</v>
      </c>
      <c r="D25" s="44">
        <f>J25+K25</f>
        <v>58.459086400000004</v>
      </c>
      <c r="E25" s="40" t="s">
        <v>47</v>
      </c>
      <c r="J25" s="41">
        <f>((4.5*3*0.8)+((4.5*3*0.8)-(0.51*0.51*3.14*0.8*2))+((4.5*3*0.4)-(0.51*0.51*3.14*0.4*2))+(2.2*3*0.4*2))</f>
        <v>30.319886400000001</v>
      </c>
      <c r="K25" s="41">
        <f>((5.06*3.8*0.4)+(((3.8*3*0.4)*2)-((1*1*0.4)*2))+(((5.06*3*0.4)*2)-(0.2*0.2*0.4)))</f>
        <v>28.139199999999999</v>
      </c>
      <c r="L25" s="41"/>
    </row>
    <row r="26">
      <c r="A26" s="29">
        <f t="shared" ref="A26:A27" si="25">A25+1</f>
        <v>12</v>
      </c>
      <c r="B26" s="30" t="s">
        <v>48</v>
      </c>
      <c r="C26" s="29" t="s">
        <v>49</v>
      </c>
      <c r="D26" s="29">
        <v>1</v>
      </c>
      <c r="E26" s="30" t="s">
        <v>50</v>
      </c>
    </row>
    <row r="27" ht="165.75">
      <c r="A27" s="29">
        <f t="shared" si="25"/>
        <v>13</v>
      </c>
      <c r="B27" s="30" t="s">
        <v>51</v>
      </c>
      <c r="C27" s="29" t="s">
        <v>31</v>
      </c>
      <c r="D27" s="29">
        <v>0.44</v>
      </c>
      <c r="E27" s="40" t="s">
        <v>52</v>
      </c>
    </row>
    <row r="28">
      <c r="A28" s="28" t="s">
        <v>53</v>
      </c>
      <c r="B28" s="28"/>
      <c r="C28" s="28"/>
      <c r="D28" s="28"/>
      <c r="E28" s="28"/>
      <c r="F28" s="42"/>
    </row>
    <row r="29" ht="63.75" outlineLevel="1">
      <c r="A29" s="29">
        <f>A27+1</f>
        <v>14</v>
      </c>
      <c r="B29" s="30" t="s">
        <v>54</v>
      </c>
      <c r="C29" s="29" t="s">
        <v>19</v>
      </c>
      <c r="D29" s="29">
        <f>ROUND((0.72*24)+(0.09*10),1)</f>
        <v>18.199999999999999</v>
      </c>
      <c r="E29" s="30" t="s">
        <v>55</v>
      </c>
      <c r="F29" s="42"/>
    </row>
    <row r="30" ht="153" outlineLevel="1">
      <c r="A30" s="29">
        <f t="shared" ref="A30:A35" si="26">A29+1</f>
        <v>15</v>
      </c>
      <c r="B30" s="30" t="s">
        <v>56</v>
      </c>
      <c r="C30" s="29" t="s">
        <v>57</v>
      </c>
      <c r="D30" s="31">
        <f>(39.04+37.56+1+0.95)+(4*1.932)</f>
        <v>86.277999999999992</v>
      </c>
      <c r="E30" s="30" t="s">
        <v>58</v>
      </c>
      <c r="J30" s="41"/>
      <c r="N30" s="41"/>
    </row>
    <row r="31" ht="25.5" outlineLevel="1">
      <c r="A31" s="29">
        <f t="shared" si="26"/>
        <v>16</v>
      </c>
      <c r="B31" s="30" t="s">
        <v>59</v>
      </c>
      <c r="C31" s="29" t="s">
        <v>60</v>
      </c>
      <c r="D31" s="31">
        <f>ROUND(((0.82+(0.16/1.2))*3.14*(D30)),1)</f>
        <v>258.30000000000001</v>
      </c>
      <c r="E31" s="30"/>
    </row>
    <row r="32" ht="89.25" outlineLevel="1">
      <c r="A32" s="29">
        <f t="shared" si="26"/>
        <v>17</v>
      </c>
      <c r="B32" s="30" t="s">
        <v>61</v>
      </c>
      <c r="C32" s="29" t="s">
        <v>31</v>
      </c>
      <c r="D32" s="36">
        <f>ROUND((10*0.04/2)+(4*0.1428/2),3)</f>
        <v>0.48599999999999999</v>
      </c>
      <c r="E32" s="30" t="s">
        <v>62</v>
      </c>
    </row>
    <row r="33" ht="51" outlineLevel="1">
      <c r="A33" s="29">
        <f t="shared" si="26"/>
        <v>18</v>
      </c>
      <c r="B33" s="30" t="s">
        <v>63</v>
      </c>
      <c r="C33" s="29" t="s">
        <v>57</v>
      </c>
      <c r="D33" s="44">
        <f>12+(2*0.325)+(2*0.234)</f>
        <v>13.118</v>
      </c>
      <c r="E33" s="30" t="s">
        <v>64</v>
      </c>
    </row>
    <row r="34" ht="12" customHeight="1" outlineLevel="1">
      <c r="A34" s="29">
        <f t="shared" si="26"/>
        <v>19</v>
      </c>
      <c r="B34" s="30" t="s">
        <v>65</v>
      </c>
      <c r="C34" s="29" t="s">
        <v>19</v>
      </c>
      <c r="D34" s="36">
        <f>(D32)*6</f>
        <v>2.9159999999999999</v>
      </c>
      <c r="E34" s="30"/>
    </row>
    <row r="35" outlineLevel="1">
      <c r="A35" s="29">
        <f t="shared" si="26"/>
        <v>20</v>
      </c>
      <c r="B35" s="30" t="s">
        <v>66</v>
      </c>
      <c r="C35" s="29" t="s">
        <v>67</v>
      </c>
      <c r="D35" s="36">
        <f>(D32)*2</f>
        <v>0.97199999999999998</v>
      </c>
      <c r="E35" s="30"/>
    </row>
    <row r="36">
      <c r="A36" s="28" t="s">
        <v>68</v>
      </c>
      <c r="B36" s="28"/>
      <c r="C36" s="28"/>
      <c r="D36" s="28"/>
      <c r="E36" s="28"/>
    </row>
    <row r="37" ht="51" outlineLevel="1">
      <c r="A37" s="29">
        <f>A35+1</f>
        <v>21</v>
      </c>
      <c r="B37" s="30" t="s">
        <v>69</v>
      </c>
      <c r="C37" s="29" t="s">
        <v>70</v>
      </c>
      <c r="D37" s="36">
        <f>ROUND((0.101*78.55)+(12*0.01),4)</f>
        <v>8.0535999999999994</v>
      </c>
      <c r="E37" s="30" t="s">
        <v>71</v>
      </c>
      <c r="F37" s="46"/>
    </row>
    <row r="38" ht="51" outlineLevel="1">
      <c r="A38" s="29">
        <f t="shared" ref="A38:A57" si="27">A37+1</f>
        <v>22</v>
      </c>
      <c r="B38" s="30" t="s">
        <v>72</v>
      </c>
      <c r="C38" s="29" t="s">
        <v>70</v>
      </c>
      <c r="D38" s="36">
        <f>D37</f>
        <v>8.0535999999999994</v>
      </c>
      <c r="E38" s="30" t="str">
        <f>E37</f>
        <v xml:space="preserve">Трубопроводы
Дн=820х5мм - 0,101тн*78,55м
Дн=108х4мм - 0,01тн*12м</v>
      </c>
      <c r="F38" s="46"/>
    </row>
    <row r="39" ht="51" outlineLevel="1">
      <c r="A39" s="29">
        <f t="shared" si="27"/>
        <v>23</v>
      </c>
      <c r="B39" s="30" t="s">
        <v>73</v>
      </c>
      <c r="C39" s="29" t="s">
        <v>70</v>
      </c>
      <c r="D39" s="36">
        <f>D37</f>
        <v>8.0535999999999994</v>
      </c>
      <c r="E39" s="30" t="str">
        <f>E37</f>
        <v xml:space="preserve">Трубопроводы
Дн=820х5мм - 0,101тн*78,55м
Дн=108х4мм - 0,01тн*12м</v>
      </c>
      <c r="F39" s="46"/>
    </row>
    <row r="40" ht="89.25" outlineLevel="1">
      <c r="A40" s="29">
        <f t="shared" si="27"/>
        <v>24</v>
      </c>
      <c r="B40" s="30" t="s">
        <v>74</v>
      </c>
      <c r="C40" s="29" t="s">
        <v>70</v>
      </c>
      <c r="D40" s="44">
        <f>(48*1.8)+(10*0.23)+1.77+(2*3)+(2*3.975)+(3.5)</f>
        <v>107.92</v>
      </c>
      <c r="E40" s="30" t="s">
        <v>75</v>
      </c>
      <c r="F40" s="47"/>
    </row>
    <row r="41" ht="89.25" outlineLevel="1">
      <c r="A41" s="29">
        <f t="shared" si="27"/>
        <v>25</v>
      </c>
      <c r="B41" s="30" t="s">
        <v>76</v>
      </c>
      <c r="C41" s="29" t="s">
        <v>70</v>
      </c>
      <c r="D41" s="44">
        <f>D40</f>
        <v>107.92</v>
      </c>
      <c r="E41" s="30" t="str">
        <f>E40</f>
        <v xml:space="preserve">Лоток Л11-8 (1,8тн; 0,72 м3) - 48 шт
Опорная подушка ОП-7 (0,23тн; 0,09 м3) - 10шт
Балка Б7 - 1 шт (0,71м3, 1,77тн)
Плиты
ПТ 42.15-8АIII-ЛК - 2шт (1,2м3;  3,0тн)
ПТ 54.15-8АIII-ЛК - 2шт (1,59м3;  3,975тн)
ПТ 54.12 - 1шт (1,4м3;  3,5тн)</v>
      </c>
      <c r="F41" s="47"/>
    </row>
    <row r="42" ht="38.25" outlineLevel="1">
      <c r="A42" s="29">
        <f t="shared" si="27"/>
        <v>26</v>
      </c>
      <c r="B42" s="30" t="s">
        <v>77</v>
      </c>
      <c r="C42" s="29" t="s">
        <v>70</v>
      </c>
      <c r="D42" s="44">
        <f>(D25*2.5)</f>
        <v>146.147716</v>
      </c>
      <c r="E42" s="30" t="s">
        <v>78</v>
      </c>
      <c r="F42" s="47"/>
    </row>
    <row r="43" ht="89.25" outlineLevel="1">
      <c r="A43" s="29">
        <f t="shared" si="27"/>
        <v>27</v>
      </c>
      <c r="B43" s="30" t="s">
        <v>79</v>
      </c>
      <c r="C43" s="29" t="s">
        <v>70</v>
      </c>
      <c r="D43" s="44">
        <f>D42</f>
        <v>146.147716</v>
      </c>
      <c r="E43" s="30" t="str">
        <f>E42</f>
        <v xml:space="preserve">ТК-327.15
ТК-327.15А</v>
      </c>
      <c r="F43" s="47"/>
    </row>
    <row r="44" ht="51" outlineLevel="1">
      <c r="A44" s="29">
        <f t="shared" si="27"/>
        <v>28</v>
      </c>
      <c r="B44" s="30" t="s">
        <v>80</v>
      </c>
      <c r="C44" s="29" t="s">
        <v>70</v>
      </c>
      <c r="D44" s="36">
        <f>ROUND((D30)*PI()*(0.82+0.08/1.2)*0.08/1.2*75/1000,3)</f>
        <v>1.202</v>
      </c>
      <c r="E44" s="30"/>
      <c r="F44" s="46"/>
    </row>
    <row r="45" ht="63.75" outlineLevel="1">
      <c r="A45" s="29">
        <f t="shared" si="27"/>
        <v>29</v>
      </c>
      <c r="B45" s="30" t="s">
        <v>81</v>
      </c>
      <c r="C45" s="29" t="s">
        <v>70</v>
      </c>
      <c r="D45" s="36">
        <f>D44</f>
        <v>1.202</v>
      </c>
      <c r="E45" s="30"/>
      <c r="F45" s="46"/>
    </row>
    <row r="46" ht="25.5" outlineLevel="1">
      <c r="A46" s="29">
        <f t="shared" si="27"/>
        <v>30</v>
      </c>
      <c r="B46" s="30" t="s">
        <v>82</v>
      </c>
      <c r="C46" s="29" t="s">
        <v>70</v>
      </c>
      <c r="D46" s="36">
        <f>1.188+142.88+107.92</f>
        <v>251.988</v>
      </c>
      <c r="E46" s="30"/>
    </row>
    <row r="47" ht="89.25" outlineLevel="1">
      <c r="A47" s="29">
        <f t="shared" si="27"/>
        <v>31</v>
      </c>
      <c r="B47" s="30" t="s">
        <v>83</v>
      </c>
      <c r="C47" s="29" t="s">
        <v>70</v>
      </c>
      <c r="D47" s="36">
        <f>ROUND((10*0.069/2)+(0.249*4)+(4*(0.1428/2)),3)</f>
        <v>1.627</v>
      </c>
      <c r="E47" s="30" t="s">
        <v>84</v>
      </c>
      <c r="F47" s="47"/>
    </row>
    <row r="48" ht="89.25" outlineLevel="1">
      <c r="A48" s="29">
        <f t="shared" si="27"/>
        <v>32</v>
      </c>
      <c r="B48" s="30" t="s">
        <v>85</v>
      </c>
      <c r="C48" s="29" t="s">
        <v>70</v>
      </c>
      <c r="D48" s="36">
        <f>D47</f>
        <v>1.627</v>
      </c>
      <c r="E48" s="30" t="str">
        <f>E47</f>
        <v xml:space="preserve">Скользящие опоры ТС-624.000-057 10шт*0,069тн/2
Заглушки ТС-596.000-13
Ду=800мм - 0,249тн*4шт
Опора неподвижная ТС-664.00-04
НО Ду 800 - 4 шт *0,1428тн/2</v>
      </c>
      <c r="F48" s="47"/>
    </row>
    <row r="49" ht="89.25" outlineLevel="1">
      <c r="A49" s="29">
        <f t="shared" si="27"/>
        <v>33</v>
      </c>
      <c r="B49" s="30" t="s">
        <v>86</v>
      </c>
      <c r="C49" s="29" t="s">
        <v>70</v>
      </c>
      <c r="D49" s="36">
        <f>ROUND((4*0.231)+(2*0.003)+(2*(0.0083/2)),3)</f>
        <v>0.93800000000000006</v>
      </c>
      <c r="E49" s="30" t="s">
        <v>87</v>
      </c>
      <c r="F49" s="47"/>
    </row>
    <row r="50" ht="89.25" outlineLevel="1">
      <c r="A50" s="29">
        <f t="shared" si="27"/>
        <v>34</v>
      </c>
      <c r="B50" s="30" t="s">
        <v>88</v>
      </c>
      <c r="C50" s="29" t="s">
        <v>70</v>
      </c>
      <c r="D50" s="36">
        <f>D49</f>
        <v>0.93800000000000006</v>
      </c>
      <c r="E50" s="30" t="str">
        <f>E49</f>
        <v xml:space="preserve">Отводы 90гр.
Дн=820х6мм - 4шт*0,231тн
Дн=108х5мм - 2шт*0,003тн
Краны
Ду100 - 2шт*0,0083/2=83 кг</v>
      </c>
      <c r="F50" s="47"/>
    </row>
    <row r="51" ht="178.5" outlineLevel="1">
      <c r="A51" s="29">
        <f t="shared" si="27"/>
        <v>35</v>
      </c>
      <c r="B51" s="30" t="s">
        <v>89</v>
      </c>
      <c r="C51" s="29" t="s">
        <v>70</v>
      </c>
      <c r="D51" s="36">
        <f>D47+D49</f>
        <v>2.5649999999999999</v>
      </c>
      <c r="E51" s="30" t="s">
        <v>90</v>
      </c>
      <c r="F51" s="37"/>
    </row>
    <row r="52" ht="140.25" outlineLevel="1">
      <c r="A52" s="29">
        <f t="shared" si="27"/>
        <v>36</v>
      </c>
      <c r="B52" s="30" t="s">
        <v>91</v>
      </c>
      <c r="C52" s="29" t="s">
        <v>70</v>
      </c>
      <c r="D52" s="36">
        <f>ROUND((4*0.863)+(2*0.0777)+(2*0.335)+(4*0.1566)+1.114,3)</f>
        <v>6.0179999999999998</v>
      </c>
      <c r="E52" s="30" t="s">
        <v>92</v>
      </c>
      <c r="F52" s="37"/>
    </row>
    <row r="53" ht="140.25" outlineLevel="1">
      <c r="A53" s="29">
        <f t="shared" si="27"/>
        <v>37</v>
      </c>
      <c r="B53" s="30" t="s">
        <v>93</v>
      </c>
      <c r="C53" s="29" t="s">
        <v>70</v>
      </c>
      <c r="D53" s="36">
        <f>D52</f>
        <v>6.0179999999999998</v>
      </c>
      <c r="E53" s="30" t="s">
        <v>94</v>
      </c>
      <c r="F53" s="37"/>
    </row>
    <row r="54" ht="51" outlineLevel="1">
      <c r="A54" s="29">
        <f t="shared" si="27"/>
        <v>38</v>
      </c>
      <c r="B54" s="30" t="s">
        <v>95</v>
      </c>
      <c r="C54" s="29" t="s">
        <v>70</v>
      </c>
      <c r="D54" s="36">
        <f>ROUND((75.95*0.301)+(12*0.0777),3)</f>
        <v>23.792999999999999</v>
      </c>
      <c r="E54" s="30" t="s">
        <v>96</v>
      </c>
      <c r="F54" s="47"/>
    </row>
    <row r="55" ht="63.75" outlineLevel="1">
      <c r="A55" s="29">
        <f t="shared" si="27"/>
        <v>39</v>
      </c>
      <c r="B55" s="30" t="s">
        <v>97</v>
      </c>
      <c r="C55" s="29" t="s">
        <v>70</v>
      </c>
      <c r="D55" s="36">
        <f>D54</f>
        <v>23.792999999999999</v>
      </c>
      <c r="E55" s="30" t="str">
        <f>E54</f>
        <v xml:space="preserve">Трубопроводы
Дн=1020х12мм - 0,301тн*75,95м
Дн=325х10мм - 0,0777тн*12м</v>
      </c>
      <c r="F55" s="47"/>
    </row>
    <row r="56" ht="63.75" outlineLevel="1">
      <c r="A56" s="29">
        <f t="shared" si="27"/>
        <v>40</v>
      </c>
      <c r="B56" s="30" t="s">
        <v>98</v>
      </c>
      <c r="C56" s="29" t="s">
        <v>70</v>
      </c>
      <c r="D56" s="31">
        <f>ROUND((4.725*1)+(2.38*1)+(22*2.48)+(22*3.75)+(10*0.65),3)</f>
        <v>150.66499999999999</v>
      </c>
      <c r="E56" s="30" t="s">
        <v>99</v>
      </c>
      <c r="F56" s="47"/>
      <c r="G56" s="37"/>
      <c r="H56" s="47"/>
      <c r="I56" s="47"/>
      <c r="J56" s="47"/>
    </row>
    <row r="57" ht="63.75" outlineLevel="1">
      <c r="A57" s="29">
        <f t="shared" si="27"/>
        <v>41</v>
      </c>
      <c r="B57" s="30" t="s">
        <v>100</v>
      </c>
      <c r="C57" s="29" t="s">
        <v>70</v>
      </c>
      <c r="D57" s="31">
        <f>D56</f>
        <v>150.66499999999999</v>
      </c>
      <c r="E57" s="30" t="str">
        <f>E56</f>
        <v xml:space="preserve">Плиты ПТ 63.15-8 ЛК - 1шт (4,725тн; 1,89м3)
Плиты ПТ 63.07 - 1шт (2,38тн; 0,95м3)
Лотки Л15-11 - 24шт (2,48тн; 0,99м3)
Лотки Л17-11 - 24шт (3,75тн; 1,5м3)
опорные подушки ОП-8 - 10шт (0,65тн; 0,26м3)</v>
      </c>
      <c r="F57" s="47"/>
      <c r="G57" s="37"/>
      <c r="H57" s="47"/>
      <c r="I57" s="47"/>
      <c r="J57" s="47"/>
    </row>
    <row r="58">
      <c r="A58" s="28" t="s">
        <v>101</v>
      </c>
      <c r="B58" s="28"/>
      <c r="C58" s="28"/>
      <c r="D58" s="28"/>
      <c r="E58" s="28"/>
    </row>
    <row r="59" ht="25.5" outlineLevel="1">
      <c r="A59" s="29">
        <f>A57+1</f>
        <v>42</v>
      </c>
      <c r="B59" s="30" t="s">
        <v>102</v>
      </c>
      <c r="C59" s="29" t="s">
        <v>103</v>
      </c>
      <c r="D59" s="31">
        <f>ROUND(((3.68+0.2)*0.1*27),1)</f>
        <v>10.5</v>
      </c>
      <c r="E59" s="30" t="s">
        <v>104</v>
      </c>
      <c r="F59" s="42"/>
    </row>
    <row r="60" ht="51" outlineLevel="1">
      <c r="A60" s="29">
        <f t="shared" ref="A60:A63" si="28">A59+1</f>
        <v>43</v>
      </c>
      <c r="B60" s="30" t="s">
        <v>105</v>
      </c>
      <c r="C60" s="29" t="s">
        <v>106</v>
      </c>
      <c r="D60" s="29">
        <f>ROUND((0.99*22)+(1.5*22)+(0.26*10),1)</f>
        <v>57.400000000000006</v>
      </c>
      <c r="E60" s="30" t="s">
        <v>188</v>
      </c>
      <c r="F60" s="42"/>
    </row>
    <row r="61" ht="25.5" outlineLevel="1">
      <c r="A61" s="29">
        <f t="shared" si="28"/>
        <v>44</v>
      </c>
      <c r="B61" s="30" t="s">
        <v>108</v>
      </c>
      <c r="C61" s="29" t="s">
        <v>19</v>
      </c>
      <c r="D61" s="29">
        <f>ROUND((((1.6*2)+(0.6*4)+(2.05*2)+2.96)*22)*0.002,2)</f>
        <v>0.56000000000000005</v>
      </c>
      <c r="E61" s="30"/>
      <c r="F61" s="42"/>
    </row>
    <row r="62" ht="25.5" outlineLevel="1">
      <c r="A62" s="29">
        <f t="shared" si="28"/>
        <v>45</v>
      </c>
      <c r="B62" s="30" t="s">
        <v>109</v>
      </c>
      <c r="C62" s="29" t="s">
        <v>110</v>
      </c>
      <c r="D62" s="36">
        <f>ROUND(88*0.0029,3)</f>
        <v>0.255</v>
      </c>
      <c r="E62" s="30"/>
      <c r="F62" s="42"/>
    </row>
    <row r="63" ht="25.5" outlineLevel="1">
      <c r="A63" s="29">
        <f t="shared" si="28"/>
        <v>46</v>
      </c>
      <c r="B63" s="30" t="s">
        <v>111</v>
      </c>
      <c r="C63" s="29" t="s">
        <v>112</v>
      </c>
      <c r="D63" s="31">
        <f>((2.96*3)+(2.05*4)+(1.84*4))*0.25*22</f>
        <v>134.41999999999999</v>
      </c>
      <c r="E63" s="30"/>
      <c r="F63" s="35"/>
    </row>
    <row r="64">
      <c r="A64" s="28" t="s">
        <v>16</v>
      </c>
      <c r="B64" s="28"/>
      <c r="C64" s="28"/>
      <c r="D64" s="28"/>
      <c r="E64" s="28"/>
    </row>
    <row r="65" ht="24">
      <c r="A65" s="29">
        <f>A63+1</f>
        <v>47</v>
      </c>
      <c r="B65" s="30" t="s">
        <v>113</v>
      </c>
      <c r="C65" s="29" t="s">
        <v>19</v>
      </c>
      <c r="D65" s="44">
        <f>ROUND(7.4*8.6*0.15,2)</f>
        <v>9.5500000000000007</v>
      </c>
      <c r="E65" s="30"/>
    </row>
    <row r="66" ht="24">
      <c r="A66" s="29">
        <f t="shared" ref="A66:A70" si="29">A65+1</f>
        <v>48</v>
      </c>
      <c r="B66" s="30" t="s">
        <v>114</v>
      </c>
      <c r="C66" s="29" t="s">
        <v>19</v>
      </c>
      <c r="D66" s="44">
        <f>ROUND(7.4*8.6*0.1,2)</f>
        <v>6.3600000000000003</v>
      </c>
      <c r="E66" s="30"/>
    </row>
    <row r="67" ht="180">
      <c r="A67" s="29">
        <f t="shared" si="29"/>
        <v>49</v>
      </c>
      <c r="B67" s="30" t="s">
        <v>115</v>
      </c>
      <c r="C67" s="29" t="s">
        <v>19</v>
      </c>
      <c r="D67" s="29">
        <f>161.21+1.89+0.95</f>
        <v>164.04999999999998</v>
      </c>
      <c r="E67" s="30" t="s">
        <v>116</v>
      </c>
      <c r="I67" s="49"/>
    </row>
    <row r="68" ht="60">
      <c r="A68" s="29">
        <f t="shared" si="29"/>
        <v>50</v>
      </c>
      <c r="B68" s="30" t="s">
        <v>117</v>
      </c>
      <c r="C68" s="29" t="s">
        <v>31</v>
      </c>
      <c r="D68" s="44">
        <v>0.11</v>
      </c>
      <c r="E68" s="30" t="s">
        <v>118</v>
      </c>
      <c r="I68" s="49"/>
    </row>
    <row r="69" ht="60">
      <c r="A69" s="29">
        <f t="shared" si="29"/>
        <v>51</v>
      </c>
      <c r="B69" s="30" t="s">
        <v>119</v>
      </c>
      <c r="C69" s="29" t="s">
        <v>31</v>
      </c>
      <c r="D69" s="44">
        <f>D68</f>
        <v>0.11</v>
      </c>
      <c r="E69" s="30" t="str">
        <f>E68</f>
        <v xml:space="preserve">Сталь угловая: 75х75х6 мм - 0,042тн*2шт; Горячекатаная арматурная сталь гладкая класса А-I, диаметром: 18 мм - 0,011тн*2шт; Сталь листовая углеродистая обыкновенного качества марки ВСт3пс5 толщиной: 6 мм - 0,001тн*2шт
Вес наплавленного металла - 0,001тн*2шт</v>
      </c>
      <c r="I69" s="49"/>
    </row>
    <row r="70" ht="24">
      <c r="A70" s="29">
        <f t="shared" si="29"/>
        <v>52</v>
      </c>
      <c r="B70" s="30" t="s">
        <v>120</v>
      </c>
      <c r="C70" s="29" t="s">
        <v>29</v>
      </c>
      <c r="D70" s="29">
        <f>2.7675*2</f>
        <v>5.5350000000000001</v>
      </c>
      <c r="E70" s="30"/>
    </row>
    <row r="71">
      <c r="A71" s="28" t="s">
        <v>17</v>
      </c>
      <c r="B71" s="28"/>
      <c r="C71" s="28"/>
      <c r="D71" s="28"/>
      <c r="E71" s="28"/>
    </row>
    <row r="72" ht="24">
      <c r="A72" s="50">
        <f>A70+1</f>
        <v>53</v>
      </c>
      <c r="B72" s="30" t="s">
        <v>113</v>
      </c>
      <c r="C72" s="29" t="s">
        <v>19</v>
      </c>
      <c r="D72" s="51">
        <f>6*6*0.15</f>
        <v>5.3999999999999995</v>
      </c>
      <c r="E72" s="40"/>
    </row>
    <row r="73" ht="24">
      <c r="A73" s="50">
        <f t="shared" ref="A73:A77" si="30">A72+1</f>
        <v>54</v>
      </c>
      <c r="B73" s="30" t="s">
        <v>114</v>
      </c>
      <c r="C73" s="29" t="s">
        <v>19</v>
      </c>
      <c r="D73" s="51">
        <f>6*6*0.1</f>
        <v>3.6000000000000001</v>
      </c>
      <c r="E73" s="40"/>
    </row>
    <row r="74" ht="144">
      <c r="A74" s="50">
        <f t="shared" si="30"/>
        <v>55</v>
      </c>
      <c r="B74" s="30" t="s">
        <v>115</v>
      </c>
      <c r="C74" s="29" t="s">
        <v>19</v>
      </c>
      <c r="D74" s="51">
        <f>((5.8*5.8*0.4)+((3.3*5.8*0.4)-(1.3*1.3*0.4))+(5.8*3.3*0.4*3)-(0.2*0.2*0.4))+0.57*2+0.96*2+0.77*2+0.65</f>
        <v>48.637999999999998</v>
      </c>
      <c r="E74" s="40" t="s">
        <v>121</v>
      </c>
    </row>
    <row r="75" ht="60">
      <c r="A75" s="29">
        <f t="shared" si="30"/>
        <v>56</v>
      </c>
      <c r="B75" s="30" t="s">
        <v>117</v>
      </c>
      <c r="C75" s="29" t="s">
        <v>31</v>
      </c>
      <c r="D75" s="44">
        <v>0.22</v>
      </c>
      <c r="E75" s="30" t="s">
        <v>122</v>
      </c>
    </row>
    <row r="76" ht="60">
      <c r="A76" s="29">
        <f t="shared" si="30"/>
        <v>57</v>
      </c>
      <c r="B76" s="30" t="s">
        <v>119</v>
      </c>
      <c r="C76" s="29" t="s">
        <v>31</v>
      </c>
      <c r="D76" s="44">
        <f>D75</f>
        <v>0.22</v>
      </c>
      <c r="E76" s="30" t="str">
        <f>E75</f>
        <v xml:space="preserve">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</v>
      </c>
    </row>
    <row r="77" ht="24">
      <c r="A77" s="29">
        <f t="shared" si="30"/>
        <v>58</v>
      </c>
      <c r="B77" s="30" t="s">
        <v>120</v>
      </c>
      <c r="C77" s="29" t="s">
        <v>29</v>
      </c>
      <c r="D77" s="29">
        <f>2.7675*4</f>
        <v>11.07</v>
      </c>
      <c r="E77" s="30"/>
    </row>
    <row r="78">
      <c r="A78" s="28" t="s">
        <v>123</v>
      </c>
      <c r="B78" s="28"/>
      <c r="C78" s="28"/>
      <c r="D78" s="28"/>
      <c r="E78" s="28"/>
    </row>
    <row r="79" ht="180" outlineLevel="1">
      <c r="A79" s="38">
        <f>A77+1</f>
        <v>59</v>
      </c>
      <c r="B79" s="30" t="s">
        <v>124</v>
      </c>
      <c r="C79" s="29" t="s">
        <v>57</v>
      </c>
      <c r="D79" s="31">
        <f>ROUND(75.95+(4*2.12)+(4*0.457),1)</f>
        <v>86.300000000000011</v>
      </c>
      <c r="E79" s="30" t="s">
        <v>125</v>
      </c>
    </row>
    <row r="80" ht="36" outlineLevel="1">
      <c r="A80" s="38">
        <f t="shared" ref="A80:A84" si="31">A79+1</f>
        <v>60</v>
      </c>
      <c r="B80" s="30" t="s">
        <v>126</v>
      </c>
      <c r="C80" s="29" t="s">
        <v>110</v>
      </c>
      <c r="D80" s="36">
        <f>10*0.069+0.2622*8</f>
        <v>2.7875999999999999</v>
      </c>
      <c r="E80" s="30" t="s">
        <v>127</v>
      </c>
    </row>
    <row r="81" ht="24" outlineLevel="1">
      <c r="A81" s="38">
        <f t="shared" si="31"/>
        <v>61</v>
      </c>
      <c r="B81" s="30" t="s">
        <v>128</v>
      </c>
      <c r="C81" s="29" t="s">
        <v>129</v>
      </c>
      <c r="D81" s="36">
        <f>ROUND(4*0.249,3)</f>
        <v>0.996</v>
      </c>
      <c r="E81" s="30" t="s">
        <v>130</v>
      </c>
    </row>
    <row r="82" ht="72" outlineLevel="1">
      <c r="A82" s="38">
        <f t="shared" si="31"/>
        <v>62</v>
      </c>
      <c r="B82" s="30" t="s">
        <v>131</v>
      </c>
      <c r="C82" s="29" t="s">
        <v>57</v>
      </c>
      <c r="D82" s="113">
        <f>ROUND(12+2*0.707,1)</f>
        <v>13.4</v>
      </c>
      <c r="E82" s="40" t="s">
        <v>132</v>
      </c>
    </row>
    <row r="83" ht="24" outlineLevel="1">
      <c r="A83" s="38">
        <f t="shared" si="31"/>
        <v>63</v>
      </c>
      <c r="B83" s="30" t="s">
        <v>133</v>
      </c>
      <c r="C83" s="29" t="s">
        <v>49</v>
      </c>
      <c r="D83" s="113">
        <v>2</v>
      </c>
      <c r="E83" s="40" t="s">
        <v>134</v>
      </c>
    </row>
    <row r="84" ht="24" outlineLevel="1">
      <c r="A84" s="38">
        <f t="shared" si="31"/>
        <v>64</v>
      </c>
      <c r="B84" s="30" t="s">
        <v>135</v>
      </c>
      <c r="C84" s="29" t="s">
        <v>57</v>
      </c>
      <c r="D84" s="113">
        <v>10</v>
      </c>
      <c r="E84" s="40" t="s">
        <v>136</v>
      </c>
    </row>
    <row r="85">
      <c r="A85" s="28" t="s">
        <v>137</v>
      </c>
      <c r="B85" s="28"/>
      <c r="C85" s="28"/>
      <c r="D85" s="28"/>
      <c r="E85" s="28"/>
    </row>
    <row r="86" ht="36" outlineLevel="1">
      <c r="A86" s="38">
        <f>A84+1</f>
        <v>65</v>
      </c>
      <c r="B86" s="30" t="s">
        <v>138</v>
      </c>
      <c r="C86" s="29" t="s">
        <v>139</v>
      </c>
      <c r="D86" s="29">
        <v>16</v>
      </c>
      <c r="E86" s="30"/>
    </row>
    <row r="87" ht="36" outlineLevel="1">
      <c r="A87" s="38">
        <f t="shared" ref="A87:A88" si="32">A86+1</f>
        <v>66</v>
      </c>
      <c r="B87" s="30" t="s">
        <v>140</v>
      </c>
      <c r="C87" s="29" t="s">
        <v>139</v>
      </c>
      <c r="D87" s="29">
        <v>12</v>
      </c>
      <c r="E87" s="30"/>
    </row>
    <row r="88" ht="24" outlineLevel="1">
      <c r="A88" s="38">
        <f t="shared" si="32"/>
        <v>67</v>
      </c>
      <c r="B88" s="30" t="s">
        <v>141</v>
      </c>
      <c r="C88" s="29" t="s">
        <v>49</v>
      </c>
      <c r="D88" s="29">
        <v>4</v>
      </c>
      <c r="E88" s="30"/>
    </row>
    <row r="89">
      <c r="A89" s="28" t="s">
        <v>142</v>
      </c>
      <c r="B89" s="28"/>
      <c r="C89" s="28"/>
      <c r="D89" s="28"/>
      <c r="E89" s="28"/>
    </row>
    <row r="90">
      <c r="A90" s="28" t="s">
        <v>143</v>
      </c>
      <c r="B90" s="28"/>
      <c r="C90" s="28"/>
      <c r="D90" s="28"/>
      <c r="E90" s="28"/>
      <c r="F90" s="42"/>
    </row>
    <row r="91" ht="36" outlineLevel="1">
      <c r="A91" s="38">
        <f>A88+1</f>
        <v>68</v>
      </c>
      <c r="B91" s="30" t="s">
        <v>144</v>
      </c>
      <c r="C91" s="29" t="s">
        <v>145</v>
      </c>
      <c r="D91" s="44">
        <f>ROUND(1.02*PI()*0.2*D86,2)</f>
        <v>10.25</v>
      </c>
      <c r="E91" s="30"/>
      <c r="F91" s="35"/>
    </row>
    <row r="92" ht="96" outlineLevel="1">
      <c r="A92" s="38">
        <f t="shared" ref="A92:A97" si="33">A91+1</f>
        <v>69</v>
      </c>
      <c r="B92" s="30" t="s">
        <v>146</v>
      </c>
      <c r="C92" s="29" t="s">
        <v>147</v>
      </c>
      <c r="D92" s="31">
        <f>ROUND(1.02*PI()*(D79),1)</f>
        <v>276.5</v>
      </c>
      <c r="E92" s="30"/>
      <c r="F92" s="35"/>
    </row>
    <row r="93" ht="120" outlineLevel="1">
      <c r="A93" s="38">
        <f t="shared" si="33"/>
        <v>70</v>
      </c>
      <c r="B93" s="30" t="s">
        <v>148</v>
      </c>
      <c r="C93" s="29" t="s">
        <v>149</v>
      </c>
      <c r="D93" s="31">
        <f>ROUND((1.02+(0.1/1))*(0.1/1)*(D79)*PI(),1)</f>
        <v>30.400000000000002</v>
      </c>
      <c r="E93" s="30"/>
      <c r="F93" s="32"/>
      <c r="G93" s="32"/>
      <c r="H93" s="32"/>
      <c r="I93" s="32"/>
      <c r="J93" s="32"/>
    </row>
    <row r="94" ht="60" outlineLevel="1">
      <c r="A94" s="38">
        <f t="shared" si="33"/>
        <v>71</v>
      </c>
      <c r="B94" s="30" t="s">
        <v>150</v>
      </c>
      <c r="C94" s="29" t="s">
        <v>151</v>
      </c>
      <c r="D94" s="31">
        <f>ROUND((1.02+(0.16/1))*PI()*(D79),1)</f>
        <v>319.90000000000003</v>
      </c>
      <c r="E94" s="30"/>
      <c r="F94" s="55"/>
      <c r="G94" s="55"/>
      <c r="H94" s="55"/>
      <c r="I94" s="55"/>
      <c r="J94" s="55"/>
    </row>
    <row r="95" ht="60" outlineLevel="1">
      <c r="A95" s="56">
        <f t="shared" si="33"/>
        <v>72</v>
      </c>
      <c r="B95" s="57" t="s">
        <v>152</v>
      </c>
      <c r="C95" s="58" t="str">
        <f>C94</f>
        <v xml:space="preserve">м2 поверхности покрытия изоляции</v>
      </c>
      <c r="D95" s="31">
        <f>ROUND((1.02+(0.16/1))*PI()*(D79),1)</f>
        <v>319.90000000000003</v>
      </c>
      <c r="E95" s="30"/>
      <c r="F95" s="55"/>
      <c r="G95" s="55"/>
      <c r="H95" s="55"/>
      <c r="I95" s="55"/>
      <c r="J95" s="55"/>
    </row>
    <row r="96" ht="84" outlineLevel="1">
      <c r="A96" s="38">
        <f t="shared" si="33"/>
        <v>73</v>
      </c>
      <c r="B96" s="30" t="s">
        <v>153</v>
      </c>
      <c r="C96" s="29" t="s">
        <v>31</v>
      </c>
      <c r="D96" s="36">
        <f>((((1.02+(0.16/1))*PI())+0.1)*((D79)*4+6*2))*0.02*6.2/1000</f>
        <v>0.16862620340256795</v>
      </c>
      <c r="E96" s="30"/>
      <c r="F96" s="55"/>
      <c r="G96" s="55"/>
      <c r="H96" s="55"/>
      <c r="I96" s="55"/>
      <c r="J96" s="55"/>
    </row>
    <row r="97" ht="24" outlineLevel="1">
      <c r="A97" s="38">
        <f t="shared" si="33"/>
        <v>74</v>
      </c>
      <c r="B97" s="30" t="s">
        <v>154</v>
      </c>
      <c r="C97" s="29" t="s">
        <v>31</v>
      </c>
      <c r="D97" s="36">
        <f>(((1.02+(0.16/1))*PI())+0.1)*(D79)*7*0.0312/1000</f>
        <v>0.071755526668788802</v>
      </c>
      <c r="E97" s="30"/>
      <c r="F97" s="55"/>
      <c r="G97" s="55"/>
      <c r="H97" s="55"/>
      <c r="I97" s="55"/>
      <c r="J97" s="55"/>
    </row>
    <row r="98">
      <c r="A98" s="28" t="s">
        <v>155</v>
      </c>
      <c r="B98" s="28"/>
      <c r="C98" s="28"/>
      <c r="D98" s="28"/>
      <c r="E98" s="28"/>
    </row>
    <row r="99">
      <c r="A99" s="28" t="s">
        <v>156</v>
      </c>
      <c r="B99" s="28"/>
      <c r="C99" s="28"/>
      <c r="D99" s="28"/>
      <c r="E99" s="28"/>
      <c r="F99" s="35"/>
    </row>
    <row r="100" ht="36" outlineLevel="1">
      <c r="A100" s="38">
        <f>A97+1</f>
        <v>75</v>
      </c>
      <c r="B100" s="30" t="s">
        <v>157</v>
      </c>
      <c r="C100" s="29" t="s">
        <v>158</v>
      </c>
      <c r="D100" s="59">
        <f>((H100-I100)+L13+M13)-(1.68*D108)-(D106*0.37)</f>
        <v>1067.1938149999999</v>
      </c>
      <c r="E100" s="30"/>
      <c r="F100" s="32"/>
      <c r="G100" s="60"/>
      <c r="H100" s="60">
        <f>(((((4.7+S11)/2)*2.6)*26-(1.48*2*1.4*26))*0.97)</f>
        <v>288.92032</v>
      </c>
      <c r="I100" s="60">
        <f>(((((4.7+S11)/2)*2.6)*26-(1.84*2*2.05*26))*0.97)</f>
        <v>203.17232000000004</v>
      </c>
      <c r="J100" s="60"/>
      <c r="O100" s="98"/>
      <c r="P100" s="41"/>
    </row>
    <row r="101" ht="24" outlineLevel="1">
      <c r="A101" s="38">
        <f t="shared" ref="A101:A103" si="34">A100+1</f>
        <v>76</v>
      </c>
      <c r="B101" s="30" t="s">
        <v>159</v>
      </c>
      <c r="C101" s="29" t="s">
        <v>158</v>
      </c>
      <c r="D101" s="59">
        <f>ROUND(D100*0.03/0.97,1)</f>
        <v>33</v>
      </c>
      <c r="E101" s="30"/>
      <c r="F101" s="35"/>
      <c r="O101" s="98"/>
    </row>
    <row r="102" outlineLevel="1">
      <c r="A102" s="38">
        <f t="shared" si="34"/>
        <v>77</v>
      </c>
      <c r="B102" s="30" t="s">
        <v>160</v>
      </c>
      <c r="C102" s="29" t="s">
        <v>19</v>
      </c>
      <c r="D102" s="59">
        <f>D100</f>
        <v>1067.1938149999999</v>
      </c>
      <c r="E102" s="30"/>
      <c r="F102" s="35"/>
      <c r="O102" s="98"/>
    </row>
    <row r="103" ht="36" outlineLevel="1">
      <c r="A103" s="38">
        <f t="shared" si="34"/>
        <v>78</v>
      </c>
      <c r="B103" s="30" t="s">
        <v>161</v>
      </c>
      <c r="C103" s="29" t="s">
        <v>19</v>
      </c>
      <c r="D103" s="59">
        <f>D100</f>
        <v>1067.1938149999999</v>
      </c>
      <c r="E103" s="30"/>
      <c r="O103" s="98"/>
    </row>
    <row r="104">
      <c r="A104" s="28" t="s">
        <v>162</v>
      </c>
      <c r="B104" s="28"/>
      <c r="C104" s="28"/>
      <c r="D104" s="28"/>
      <c r="E104" s="28"/>
      <c r="F104" s="42"/>
    </row>
    <row r="105" ht="36" outlineLevel="1">
      <c r="A105" s="38">
        <f>A103+1</f>
        <v>79</v>
      </c>
      <c r="B105" s="30" t="s">
        <v>163</v>
      </c>
      <c r="C105" s="29" t="s">
        <v>164</v>
      </c>
      <c r="D105" s="36">
        <f>D106*0.25</f>
        <v>43.625</v>
      </c>
      <c r="E105" s="30"/>
      <c r="F105" s="42"/>
    </row>
    <row r="106" ht="84" outlineLevel="1">
      <c r="A106" s="29">
        <f t="shared" ref="A106:A113" si="35">A105+1</f>
        <v>80</v>
      </c>
      <c r="B106" s="30" t="s">
        <v>165</v>
      </c>
      <c r="C106" s="29" t="s">
        <v>166</v>
      </c>
      <c r="D106" s="31">
        <v>174.5</v>
      </c>
      <c r="E106" s="30" t="s">
        <v>167</v>
      </c>
      <c r="F106" s="61"/>
      <c r="G106" s="62"/>
      <c r="H106" s="62"/>
      <c r="I106" s="62"/>
      <c r="J106" s="62"/>
    </row>
    <row r="107" ht="84" outlineLevel="1">
      <c r="A107" s="29">
        <f t="shared" si="35"/>
        <v>81</v>
      </c>
      <c r="B107" s="30" t="s">
        <v>168</v>
      </c>
      <c r="C107" s="29" t="s">
        <v>166</v>
      </c>
      <c r="D107" s="31">
        <f>D106</f>
        <v>174.5</v>
      </c>
      <c r="E107" s="30" t="s">
        <v>169</v>
      </c>
      <c r="F107" s="61"/>
      <c r="G107" s="62"/>
      <c r="H107" s="62"/>
      <c r="I107" s="62"/>
      <c r="J107" s="62"/>
    </row>
    <row r="108" ht="24" outlineLevel="1">
      <c r="A108" s="29">
        <f t="shared" si="35"/>
        <v>82</v>
      </c>
      <c r="B108" s="30" t="s">
        <v>170</v>
      </c>
      <c r="C108" s="29" t="s">
        <v>49</v>
      </c>
      <c r="D108" s="31">
        <v>4</v>
      </c>
      <c r="E108" s="30" t="s">
        <v>171</v>
      </c>
      <c r="F108" s="61"/>
      <c r="G108" s="62"/>
      <c r="H108" s="62"/>
      <c r="I108" s="62"/>
      <c r="J108" s="62"/>
    </row>
    <row r="109" ht="24" outlineLevel="1">
      <c r="A109" s="29">
        <f t="shared" si="35"/>
        <v>83</v>
      </c>
      <c r="B109" s="30" t="s">
        <v>172</v>
      </c>
      <c r="C109" s="29" t="s">
        <v>49</v>
      </c>
      <c r="D109" s="31">
        <f>D108</f>
        <v>4</v>
      </c>
      <c r="E109" s="30" t="str">
        <f>E108</f>
        <v xml:space="preserve">Плита дорожная ПДН - 4,20тн; 1,68м3 (на 1 ед.) 6,72м3
Сталь арматурная Ø12мм-АIII по ГОСТ 5781-82 - 0,14тн (на 1 ед.)</v>
      </c>
      <c r="F109" s="61"/>
      <c r="G109" s="62"/>
      <c r="H109" s="62"/>
      <c r="I109" s="62"/>
      <c r="J109" s="62"/>
    </row>
    <row r="110" outlineLevel="1">
      <c r="A110" s="29">
        <f t="shared" si="35"/>
        <v>84</v>
      </c>
      <c r="B110" s="30" t="s">
        <v>173</v>
      </c>
      <c r="C110" s="29" t="s">
        <v>31</v>
      </c>
      <c r="D110" s="36">
        <v>0.44800000000000001</v>
      </c>
      <c r="E110" s="30" t="s">
        <v>174</v>
      </c>
      <c r="F110" s="61"/>
      <c r="G110" s="62"/>
      <c r="H110" s="62"/>
      <c r="I110" s="62"/>
      <c r="J110" s="62"/>
    </row>
    <row r="111" ht="25.5" outlineLevel="1">
      <c r="A111" s="29">
        <f t="shared" si="35"/>
        <v>85</v>
      </c>
      <c r="B111" s="30" t="s">
        <v>175</v>
      </c>
      <c r="C111" s="29" t="s">
        <v>31</v>
      </c>
      <c r="D111" s="36">
        <f>D110</f>
        <v>0.44800000000000001</v>
      </c>
      <c r="E111" s="30" t="str">
        <f>E110</f>
        <v xml:space="preserve">1 секция забора - 0,064тн - 4м (всего 7 секций)</v>
      </c>
      <c r="F111" s="61"/>
      <c r="G111" s="62"/>
      <c r="H111" s="62"/>
      <c r="I111" s="62"/>
      <c r="J111" s="62"/>
    </row>
    <row r="112" outlineLevel="1">
      <c r="A112" s="29">
        <f t="shared" si="35"/>
        <v>86</v>
      </c>
      <c r="B112" s="30" t="s">
        <v>176</v>
      </c>
      <c r="C112" s="29" t="s">
        <v>57</v>
      </c>
      <c r="D112" s="36">
        <v>2.5059999999999998</v>
      </c>
      <c r="E112" s="30"/>
      <c r="F112" s="61"/>
      <c r="G112" s="62"/>
      <c r="H112" s="62"/>
      <c r="I112" s="62"/>
      <c r="J112" s="62"/>
    </row>
    <row r="113" ht="24" outlineLevel="1">
      <c r="A113" s="29">
        <f t="shared" si="35"/>
        <v>87</v>
      </c>
      <c r="B113" s="30" t="s">
        <v>108</v>
      </c>
      <c r="C113" s="29" t="s">
        <v>19</v>
      </c>
      <c r="D113" s="44">
        <v>0.34000000000000002</v>
      </c>
      <c r="E113" s="30"/>
      <c r="F113" s="61"/>
      <c r="G113" s="62"/>
      <c r="H113" s="62"/>
      <c r="I113" s="62"/>
      <c r="J113" s="62"/>
    </row>
    <row r="114">
      <c r="A114" s="28" t="s">
        <v>177</v>
      </c>
      <c r="B114" s="28"/>
      <c r="C114" s="28"/>
      <c r="D114" s="28"/>
      <c r="E114" s="28"/>
    </row>
    <row r="115" ht="36" outlineLevel="1">
      <c r="A115" s="29">
        <f>A113+1</f>
        <v>88</v>
      </c>
      <c r="B115" s="30" t="s">
        <v>178</v>
      </c>
      <c r="C115" s="29" t="s">
        <v>29</v>
      </c>
      <c r="D115" s="29">
        <v>69.090000000000003</v>
      </c>
      <c r="E115" s="30"/>
      <c r="F115" s="46"/>
      <c r="G115" s="55"/>
      <c r="H115" s="55"/>
      <c r="I115" s="55"/>
      <c r="J115" s="55"/>
    </row>
    <row r="116" ht="36" outlineLevel="1">
      <c r="A116" s="29">
        <f>A115+1</f>
        <v>89</v>
      </c>
      <c r="B116" s="30" t="s">
        <v>179</v>
      </c>
      <c r="C116" s="29" t="s">
        <v>29</v>
      </c>
      <c r="D116" s="29">
        <f>D115</f>
        <v>69.090000000000003</v>
      </c>
      <c r="E116" s="30"/>
      <c r="F116" s="55"/>
      <c r="G116" s="55"/>
      <c r="H116" s="55"/>
      <c r="I116" s="55"/>
      <c r="J116" s="55"/>
    </row>
    <row r="118" ht="121.5" customHeight="1">
      <c r="A118" s="15" t="s">
        <v>180</v>
      </c>
      <c r="B118" s="15"/>
      <c r="C118" s="15"/>
      <c r="D118" s="15"/>
      <c r="E118" s="15"/>
    </row>
    <row r="120">
      <c r="A120" s="65"/>
      <c r="B120" s="65"/>
      <c r="C120" s="65"/>
    </row>
    <row r="122" ht="15" customHeight="1">
      <c r="A122" s="66"/>
      <c r="B122" s="66"/>
      <c r="C122" s="66"/>
      <c r="D122" s="67"/>
      <c r="E122" s="66"/>
    </row>
    <row r="123" s="68" customFormat="1" ht="14.25">
      <c r="A123" s="67"/>
      <c r="B123" s="66"/>
      <c r="C123" s="66"/>
      <c r="D123" s="67"/>
      <c r="E123" s="66"/>
      <c r="F123" s="69"/>
      <c r="G123" s="70"/>
      <c r="O123" s="114"/>
      <c r="P123" s="115"/>
    </row>
    <row r="124" s="71" customFormat="1" ht="15" customHeight="1">
      <c r="A124" s="72"/>
      <c r="B124" s="73"/>
      <c r="C124" s="74"/>
      <c r="D124" s="74"/>
      <c r="E124" s="75"/>
      <c r="F124" s="76"/>
      <c r="G124" s="77"/>
      <c r="O124" s="116"/>
      <c r="P124" s="117"/>
    </row>
    <row r="125" s="78" customFormat="1" ht="14.25">
      <c r="A125" s="79"/>
      <c r="B125" s="79"/>
      <c r="C125" s="80"/>
      <c r="D125" s="81"/>
      <c r="E125" s="82"/>
      <c r="F125" s="83"/>
      <c r="G125" s="84"/>
      <c r="O125" s="118"/>
      <c r="P125" s="119"/>
    </row>
    <row r="126" s="78" customFormat="1" ht="14.25">
      <c r="A126" s="85"/>
      <c r="B126" s="86"/>
      <c r="C126" s="87"/>
      <c r="D126" s="87"/>
      <c r="E126" s="88"/>
      <c r="F126" s="83"/>
      <c r="G126" s="84"/>
      <c r="O126" s="118"/>
      <c r="P126" s="119"/>
    </row>
    <row r="127" ht="14.25">
      <c r="A127" s="89"/>
      <c r="B127" s="90"/>
      <c r="C127" s="91"/>
      <c r="D127" s="91"/>
      <c r="E127" s="92"/>
    </row>
    <row r="128">
      <c r="A128" s="93"/>
      <c r="B128" s="94"/>
      <c r="C128" s="94"/>
      <c r="D128" s="93"/>
      <c r="E128" s="95"/>
    </row>
    <row r="129">
      <c r="A129" s="94"/>
      <c r="B129" s="94"/>
      <c r="C129" s="94"/>
      <c r="D129" s="96"/>
      <c r="E129" s="95"/>
    </row>
  </sheetData>
  <mergeCells count="24">
    <mergeCell ref="A2:E2"/>
    <mergeCell ref="A8:E8"/>
    <mergeCell ref="A9:E9"/>
    <mergeCell ref="A12:E12"/>
    <mergeCell ref="A23:E23"/>
    <mergeCell ref="A24:E24"/>
    <mergeCell ref="A28:E28"/>
    <mergeCell ref="A36:E36"/>
    <mergeCell ref="A58:E58"/>
    <mergeCell ref="A64:E64"/>
    <mergeCell ref="A71:E71"/>
    <mergeCell ref="A78:E78"/>
    <mergeCell ref="A85:E85"/>
    <mergeCell ref="A89:E89"/>
    <mergeCell ref="A90:E90"/>
    <mergeCell ref="A98:E98"/>
    <mergeCell ref="A99:E99"/>
    <mergeCell ref="A104:E104"/>
    <mergeCell ref="A114:E114"/>
    <mergeCell ref="A118:E118"/>
    <mergeCell ref="A120:C120"/>
    <mergeCell ref="A122:C122"/>
    <mergeCell ref="A125:B125"/>
    <mergeCell ref="A129:C129"/>
  </mergeCells>
  <printOptions headings="0" gridLines="0"/>
  <pageMargins left="0.51000000000000023" right="0.39370078740157477" top="0.3600000000000001" bottom="0.46000000000000008" header="0" footer="0.19685039370078738"/>
  <pageSetup paperSize="9" scale="29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&amp;R&amp;"Times New Roman,Regular "Страница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98" zoomScale="85" workbookViewId="0">
      <selection activeCell="F108" activeCellId="0" sqref="F108"/>
    </sheetView>
  </sheetViews>
  <sheetFormatPr defaultColWidth="9.140625" defaultRowHeight="12.75" outlineLevelRow="1"/>
  <cols>
    <col customWidth="1" min="1" max="1" style="2" width="4.42578125"/>
    <col customWidth="1" min="2" max="2" style="3" width="40.85546875"/>
    <col customWidth="1" min="3" max="3" style="4" width="14.85546875"/>
    <col customWidth="1" min="4" max="4" style="4" width="10.85546875"/>
    <col customWidth="1" min="5" max="5" style="5" width="63.28515625"/>
    <col customWidth="1" min="6" max="6" style="6" width="43.5703125"/>
    <col customWidth="1" min="7" max="7" style="7" width="9.140625"/>
    <col customWidth="1" min="8" max="8" style="1" width="11.140625"/>
    <col customWidth="1" min="9" max="10" style="1" width="10"/>
    <col customWidth="1" min="11" max="12" style="1" width="9.140625"/>
    <col customWidth="1" min="13" max="13" style="1" width="17"/>
    <col customWidth="1" min="14" max="19" style="1" width="9.140625"/>
    <col min="20" max="22" style="1" width="9.140625"/>
    <col customWidth="1" min="23" max="23" style="1" width="9.140625"/>
    <col min="24" max="16384" style="1" width="9.140625"/>
  </cols>
  <sheetData>
    <row r="1">
      <c r="A1" s="99"/>
      <c r="B1" s="100"/>
      <c r="C1" s="99"/>
      <c r="D1" s="101"/>
      <c r="E1" s="1"/>
      <c r="F1" s="49"/>
      <c r="G1" s="12"/>
      <c r="H1" s="13"/>
    </row>
    <row r="2" ht="15">
      <c r="A2" s="102" t="s">
        <v>181</v>
      </c>
      <c r="B2" s="102"/>
      <c r="C2" s="102"/>
      <c r="D2" s="102"/>
      <c r="E2" s="102"/>
      <c r="F2" s="49"/>
      <c r="G2" s="12"/>
      <c r="H2" s="13"/>
    </row>
    <row r="3">
      <c r="A3" s="103"/>
      <c r="B3" s="104"/>
      <c r="C3" s="17"/>
      <c r="D3" s="20"/>
      <c r="E3" s="105"/>
      <c r="F3" s="49"/>
      <c r="G3" s="12"/>
      <c r="H3" s="13"/>
    </row>
    <row r="4" ht="15.75">
      <c r="A4" s="106"/>
      <c r="B4" s="15"/>
      <c r="C4" s="17"/>
      <c r="D4" s="20"/>
      <c r="E4" s="107" t="s">
        <v>0</v>
      </c>
      <c r="F4" s="49"/>
      <c r="G4" s="12"/>
      <c r="H4" s="13"/>
    </row>
    <row r="5" ht="9.75" customHeight="1">
      <c r="A5" s="106"/>
      <c r="B5" s="15"/>
      <c r="C5" s="17"/>
      <c r="D5" s="20"/>
      <c r="E5" s="107"/>
      <c r="F5" s="49"/>
      <c r="G5" s="12"/>
      <c r="H5" s="13"/>
    </row>
    <row r="6">
      <c r="A6" s="108"/>
      <c r="B6" s="15"/>
      <c r="C6" s="17"/>
      <c r="D6" s="20"/>
      <c r="E6" s="18" t="s">
        <v>190</v>
      </c>
      <c r="F6" s="49"/>
      <c r="G6" s="12"/>
      <c r="H6" s="13"/>
    </row>
    <row r="7">
      <c r="A7" s="108"/>
      <c r="B7" s="15"/>
      <c r="C7" s="17"/>
      <c r="D7" s="20"/>
      <c r="E7" s="18" t="s">
        <v>191</v>
      </c>
      <c r="F7" s="49"/>
      <c r="G7" s="12"/>
      <c r="H7" s="13"/>
    </row>
    <row r="8">
      <c r="A8" s="108"/>
      <c r="B8" s="15"/>
      <c r="C8" s="17"/>
      <c r="D8" s="20"/>
      <c r="E8" s="10" t="s">
        <v>183</v>
      </c>
      <c r="F8" s="49"/>
      <c r="G8" s="12"/>
      <c r="H8" s="13"/>
    </row>
    <row r="9" ht="39.75" customHeight="1">
      <c r="A9" s="22" t="s">
        <v>4</v>
      </c>
      <c r="B9" s="21"/>
      <c r="C9" s="21"/>
      <c r="D9" s="21"/>
      <c r="E9" s="21"/>
      <c r="G9" s="12"/>
      <c r="H9" s="13"/>
    </row>
    <row r="10" ht="60" customHeight="1">
      <c r="A10" s="109" t="s">
        <v>192</v>
      </c>
      <c r="B10" s="21"/>
      <c r="C10" s="21"/>
      <c r="D10" s="21"/>
      <c r="E10" s="21"/>
      <c r="F10" s="19"/>
      <c r="G10" s="12"/>
      <c r="H10" s="13"/>
    </row>
    <row r="11" ht="40.5" customHeight="1">
      <c r="A11" s="23" t="s">
        <v>6</v>
      </c>
      <c r="B11" s="24" t="s">
        <v>7</v>
      </c>
      <c r="C11" s="24" t="s">
        <v>8</v>
      </c>
      <c r="D11" s="24" t="s">
        <v>9</v>
      </c>
      <c r="E11" s="25" t="s">
        <v>10</v>
      </c>
      <c r="M11" s="110"/>
      <c r="P11" s="1">
        <v>1</v>
      </c>
      <c r="R11" s="1">
        <v>1</v>
      </c>
      <c r="S11" s="1">
        <v>1</v>
      </c>
    </row>
    <row r="12">
      <c r="A12" s="26">
        <v>1</v>
      </c>
      <c r="B12" s="27">
        <v>2</v>
      </c>
      <c r="C12" s="27">
        <v>3</v>
      </c>
      <c r="D12" s="27">
        <v>4</v>
      </c>
      <c r="E12" s="25">
        <v>5</v>
      </c>
      <c r="P12" s="1">
        <f>8.3-P11</f>
        <v>7.3000000000000007</v>
      </c>
      <c r="R12" s="1">
        <f>12.9-R11</f>
        <v>11.9</v>
      </c>
      <c r="S12" s="1">
        <f>7.8-S11</f>
        <v>6.7999999999999998</v>
      </c>
    </row>
    <row r="13">
      <c r="A13" s="28" t="s">
        <v>11</v>
      </c>
      <c r="B13" s="28"/>
      <c r="C13" s="28"/>
      <c r="D13" s="28"/>
      <c r="E13" s="28"/>
      <c r="G13" s="7" t="s">
        <v>12</v>
      </c>
      <c r="H13" s="1" t="s">
        <v>13</v>
      </c>
      <c r="I13" s="1" t="s">
        <v>14</v>
      </c>
      <c r="K13" s="1" t="s">
        <v>15</v>
      </c>
      <c r="L13" s="1" t="s">
        <v>16</v>
      </c>
      <c r="M13" s="1" t="s">
        <v>17</v>
      </c>
    </row>
    <row r="14" ht="89.25" outlineLevel="1">
      <c r="A14" s="29">
        <v>1</v>
      </c>
      <c r="B14" s="30" t="s">
        <v>18</v>
      </c>
      <c r="C14" s="29" t="s">
        <v>19</v>
      </c>
      <c r="D14" s="44">
        <f>K14+L14+M14</f>
        <v>1341.6511350000001</v>
      </c>
      <c r="E14" s="30" t="s">
        <v>193</v>
      </c>
      <c r="F14" s="32"/>
      <c r="G14" s="33" t="s">
        <v>21</v>
      </c>
      <c r="H14" s="34" t="s">
        <v>22</v>
      </c>
      <c r="I14" s="34" t="s">
        <v>23</v>
      </c>
      <c r="K14" s="112">
        <f>(((((4.7+P12)/2)*2.6)*26-(1.48*2*1.4*26))*0.97)</f>
        <v>288.92032</v>
      </c>
      <c r="L14" s="1">
        <f>((5.25/6*(((2*O15+O16)*P15)+((2*O16+O15)*P16)))-(4.5*3*3))*0.97</f>
        <v>813.21647500000006</v>
      </c>
      <c r="M14" s="1">
        <f>((3.4/6*(((2*R12+S12)*R12)+((2*S12+R12)*S12)))-(5.06*3.8*3))*0.97</f>
        <v>239.51434000000003</v>
      </c>
      <c r="O14" s="1">
        <v>1</v>
      </c>
      <c r="P14" s="1">
        <v>1</v>
      </c>
    </row>
    <row r="15" ht="38.25" outlineLevel="1">
      <c r="A15" s="29">
        <f t="shared" ref="A15:A23" si="36">A14+1</f>
        <v>2</v>
      </c>
      <c r="B15" s="30" t="s">
        <v>24</v>
      </c>
      <c r="C15" s="29" t="s">
        <v>19</v>
      </c>
      <c r="D15" s="44">
        <f>K15</f>
        <v>8.9356799999999996</v>
      </c>
      <c r="E15" s="30" t="s">
        <v>194</v>
      </c>
      <c r="F15" s="35"/>
      <c r="K15" s="1">
        <f>(((((4.7+P12)/2)*2.6)*26-(1.48*2*1.4*26))*0.03)</f>
        <v>8.9356799999999996</v>
      </c>
      <c r="L15" s="1">
        <f>((5.25/6*(((2*O15+O16)*P15)+((2*O16+O15)*P16)))-(4.5*3*3))*0.03</f>
        <v>25.151025000000001</v>
      </c>
      <c r="M15" s="1">
        <f>((3.4/6*(((2*R12+S12)*R12)+((2*S12+R12)*S12)))-(5.06*3.8*3))*0.03</f>
        <v>7.4076600000000017</v>
      </c>
      <c r="O15" s="1">
        <f>18.3-O14</f>
        <v>17.300000000000001</v>
      </c>
      <c r="P15" s="1">
        <f>17.1-P14</f>
        <v>16.100000000000001</v>
      </c>
    </row>
    <row r="16" ht="89.25" outlineLevel="1">
      <c r="A16" s="29">
        <f t="shared" si="36"/>
        <v>3</v>
      </c>
      <c r="B16" s="30" t="s">
        <v>26</v>
      </c>
      <c r="C16" s="29" t="s">
        <v>19</v>
      </c>
      <c r="D16" s="121">
        <f>L15+M15</f>
        <v>32.558685000000004</v>
      </c>
      <c r="E16" s="30" t="s">
        <v>195</v>
      </c>
      <c r="F16" s="35"/>
      <c r="G16" s="122">
        <f>((((((4.7+7.3)/2)*2.6)*26)-(1.48*2*1.4*26))*0.97)+
(((5.25/6*(((2*17.3+9.4)*16.1)+((2*9.4+17.3)*8.2)))-(4.5*3*3))*0.97)+(((3.4/6*(((2*11.9+6.8)*11.9)+((2*6.8+11.9)*6.8)))-(5.06*3.8*3))*0.97)</f>
        <v>1341.6511350000001</v>
      </c>
      <c r="H16" s="122">
        <f>(((((4.7+7.3)/2)*2.6)*26)-(1.48*2*1.4*26))*0.03</f>
        <v>8.9356799999999996</v>
      </c>
      <c r="I16" s="7">
        <f>(((5.25/6*(((2*17.3+9.4)*16.1)+((2*9.4+17.3)*8.2)))-(4.5*3*3))*0.03)+(((3.4/6*(((2*11.9+6.8)*11.9)+((2*6.8+11.9)*6.8)))-(5.06*3.8*3))*0.03)</f>
        <v>32.558685000000004</v>
      </c>
      <c r="O16" s="1">
        <f>10.4-1</f>
        <v>9.4000000000000004</v>
      </c>
      <c r="P16" s="1">
        <f>9.2-1</f>
        <v>8.1999999999999993</v>
      </c>
      <c r="Q16" s="1">
        <v>5.25</v>
      </c>
    </row>
    <row r="17" ht="38.25" outlineLevel="1">
      <c r="A17" s="29">
        <f t="shared" si="36"/>
        <v>4</v>
      </c>
      <c r="B17" s="30" t="s">
        <v>28</v>
      </c>
      <c r="C17" s="29" t="s">
        <v>29</v>
      </c>
      <c r="D17" s="44">
        <f>J17</f>
        <v>267.75</v>
      </c>
      <c r="E17" s="30" t="s">
        <v>196</v>
      </c>
      <c r="F17" s="35"/>
      <c r="J17" s="1">
        <f>((O15+O16)/2*Q16*2)+((P15+P16)/2*Q16*2)</f>
        <v>267.75</v>
      </c>
      <c r="K17" s="1">
        <f>((17.3+9.4)/2*5.25*2)+((16.1+8.2)/2*5.25*2)</f>
        <v>267.75</v>
      </c>
    </row>
    <row r="18" ht="38.25" outlineLevel="1">
      <c r="A18" s="29">
        <f t="shared" si="36"/>
        <v>5</v>
      </c>
      <c r="B18" s="30" t="s">
        <v>30</v>
      </c>
      <c r="C18" s="29" t="s">
        <v>31</v>
      </c>
      <c r="D18" s="121">
        <f>ROUND((D15+D16)*1.95,2)</f>
        <v>80.909999999999997</v>
      </c>
      <c r="E18" s="30" t="s">
        <v>197</v>
      </c>
      <c r="F18" s="37"/>
    </row>
    <row r="19" ht="36.75" customHeight="1" outlineLevel="1">
      <c r="A19" s="29">
        <f t="shared" si="36"/>
        <v>6</v>
      </c>
      <c r="B19" s="30" t="s">
        <v>33</v>
      </c>
      <c r="C19" s="29" t="s">
        <v>19</v>
      </c>
      <c r="D19" s="44">
        <f>((1.28*2)*0.2)*24</f>
        <v>12.288</v>
      </c>
      <c r="E19" s="30" t="s">
        <v>34</v>
      </c>
      <c r="F19" s="35"/>
    </row>
    <row r="20" ht="36" customHeight="1" outlineLevel="1">
      <c r="A20" s="29">
        <f t="shared" si="36"/>
        <v>7</v>
      </c>
      <c r="B20" s="30" t="s">
        <v>35</v>
      </c>
      <c r="C20" s="29" t="s">
        <v>31</v>
      </c>
      <c r="D20" s="36">
        <f>ROUND(D19*1.95,3)</f>
        <v>23.962</v>
      </c>
      <c r="E20" s="30" t="s">
        <v>36</v>
      </c>
      <c r="F20" s="37"/>
    </row>
    <row r="21" ht="42.75" customHeight="1" outlineLevel="1">
      <c r="A21" s="29">
        <f t="shared" si="36"/>
        <v>8</v>
      </c>
      <c r="B21" s="30" t="s">
        <v>37</v>
      </c>
      <c r="C21" s="29" t="s">
        <v>31</v>
      </c>
      <c r="D21" s="44">
        <f>ROUND((D14+D15+D16+12.3)*1.95,3)</f>
        <v>2721.1190000000001</v>
      </c>
      <c r="E21" s="30" t="s">
        <v>198</v>
      </c>
      <c r="F21" s="35"/>
    </row>
    <row r="22" outlineLevel="1">
      <c r="A22" s="29">
        <f t="shared" si="36"/>
        <v>9</v>
      </c>
      <c r="B22" s="30" t="s">
        <v>39</v>
      </c>
      <c r="C22" s="29" t="s">
        <v>19</v>
      </c>
      <c r="D22" s="44">
        <f>ROUND(D14+D15+D16+D19,1)</f>
        <v>1395.4000000000001</v>
      </c>
      <c r="E22" s="30" t="s">
        <v>199</v>
      </c>
      <c r="F22" s="35"/>
    </row>
    <row r="23" outlineLevel="1">
      <c r="A23" s="29">
        <f t="shared" si="36"/>
        <v>10</v>
      </c>
      <c r="B23" s="30" t="s">
        <v>41</v>
      </c>
      <c r="C23" s="29" t="s">
        <v>42</v>
      </c>
      <c r="D23" s="38">
        <f>ROUND(D22*2/50,1)</f>
        <v>55.800000000000004</v>
      </c>
      <c r="E23" s="30" t="s">
        <v>200</v>
      </c>
      <c r="F23" s="35"/>
    </row>
    <row r="24">
      <c r="A24" s="28" t="s">
        <v>44</v>
      </c>
      <c r="B24" s="28"/>
      <c r="C24" s="28"/>
      <c r="D24" s="28"/>
      <c r="E24" s="28"/>
    </row>
    <row r="25">
      <c r="A25" s="28" t="s">
        <v>45</v>
      </c>
      <c r="B25" s="28"/>
      <c r="C25" s="28"/>
      <c r="D25" s="28"/>
      <c r="E25" s="28"/>
    </row>
    <row r="26" ht="127.5">
      <c r="A26" s="29">
        <f>A23+1</f>
        <v>11</v>
      </c>
      <c r="B26" s="30" t="s">
        <v>46</v>
      </c>
      <c r="C26" s="29" t="s">
        <v>19</v>
      </c>
      <c r="D26" s="44">
        <f>J26+K26</f>
        <v>57.149086400000002</v>
      </c>
      <c r="E26" s="40" t="s">
        <v>201</v>
      </c>
      <c r="J26" s="41">
        <f>((4.5*3*0.8)+((4.5*3*0.8)-(0.51*0.51*3.14*0.8*2))+((4.5*3*0.4)-(0.51*0.51*3.14*0.4*2))+(2.2*3*0.4*2))-1.31</f>
        <v>29.009886400000003</v>
      </c>
      <c r="K26" s="41">
        <f>((5.06*3.8*0.4)+(((3.8*3*0.4)*2)-((1*1*0.4)*2))+(((5.06*3*0.4)*2)-(0.2*0.2*0.4)))</f>
        <v>28.139199999999999</v>
      </c>
      <c r="L26" s="41"/>
    </row>
    <row r="27">
      <c r="A27" s="29">
        <f t="shared" ref="A27:A28" si="37">A26+1</f>
        <v>12</v>
      </c>
      <c r="B27" s="30" t="s">
        <v>48</v>
      </c>
      <c r="C27" s="29" t="s">
        <v>49</v>
      </c>
      <c r="D27" s="29">
        <v>1</v>
      </c>
      <c r="E27" s="30" t="s">
        <v>50</v>
      </c>
    </row>
    <row r="28" ht="165.75">
      <c r="A28" s="29">
        <f t="shared" si="37"/>
        <v>13</v>
      </c>
      <c r="B28" s="30" t="s">
        <v>51</v>
      </c>
      <c r="C28" s="29" t="s">
        <v>31</v>
      </c>
      <c r="D28" s="29">
        <v>0.44</v>
      </c>
      <c r="E28" s="40" t="s">
        <v>52</v>
      </c>
    </row>
    <row r="29">
      <c r="A29" s="28" t="s">
        <v>53</v>
      </c>
      <c r="B29" s="28"/>
      <c r="C29" s="28"/>
      <c r="D29" s="28"/>
      <c r="E29" s="28"/>
      <c r="F29" s="42"/>
    </row>
    <row r="30" ht="63.75" outlineLevel="1">
      <c r="A30" s="29">
        <f>A28+1</f>
        <v>14</v>
      </c>
      <c r="B30" s="30" t="s">
        <v>54</v>
      </c>
      <c r="C30" s="29" t="s">
        <v>19</v>
      </c>
      <c r="D30" s="29">
        <f>ROUND((0.72*24)+(0.09*10),1)</f>
        <v>18.199999999999999</v>
      </c>
      <c r="E30" s="30" t="s">
        <v>55</v>
      </c>
      <c r="F30" s="42"/>
    </row>
    <row r="31" ht="153" outlineLevel="1">
      <c r="A31" s="29">
        <f t="shared" ref="A31:A36" si="38">A30+1</f>
        <v>15</v>
      </c>
      <c r="B31" s="30" t="s">
        <v>56</v>
      </c>
      <c r="C31" s="29" t="s">
        <v>57</v>
      </c>
      <c r="D31" s="31">
        <f>(39.04+37.56+1+0.95)+(4*1.932)</f>
        <v>86.277999999999992</v>
      </c>
      <c r="E31" s="30" t="s">
        <v>58</v>
      </c>
      <c r="J31" s="41"/>
      <c r="N31" s="41"/>
    </row>
    <row r="32" ht="25.5" outlineLevel="1">
      <c r="A32" s="29">
        <f t="shared" si="38"/>
        <v>16</v>
      </c>
      <c r="B32" s="30" t="s">
        <v>59</v>
      </c>
      <c r="C32" s="29" t="s">
        <v>60</v>
      </c>
      <c r="D32" s="31">
        <f>ROUND(((0.82+(0.16/1.2))*3.14*(D31)),1)</f>
        <v>258.30000000000001</v>
      </c>
      <c r="E32" s="30" t="s">
        <v>202</v>
      </c>
    </row>
    <row r="33" ht="89.25" outlineLevel="1">
      <c r="A33" s="29">
        <f t="shared" si="38"/>
        <v>17</v>
      </c>
      <c r="B33" s="30" t="s">
        <v>61</v>
      </c>
      <c r="C33" s="29" t="s">
        <v>31</v>
      </c>
      <c r="D33" s="36">
        <f>ROUND((10*0.04/2)+(4*0.1428/2),3)</f>
        <v>0.48599999999999999</v>
      </c>
      <c r="E33" s="30" t="s">
        <v>62</v>
      </c>
    </row>
    <row r="34" ht="51" outlineLevel="1">
      <c r="A34" s="29">
        <f t="shared" si="38"/>
        <v>18</v>
      </c>
      <c r="B34" s="30" t="s">
        <v>63</v>
      </c>
      <c r="C34" s="29" t="s">
        <v>57</v>
      </c>
      <c r="D34" s="44">
        <f>12+(2*0.325)+(2*0.234)</f>
        <v>13.118</v>
      </c>
      <c r="E34" s="30" t="s">
        <v>203</v>
      </c>
    </row>
    <row r="35" ht="12" customHeight="1" outlineLevel="1">
      <c r="A35" s="29">
        <f t="shared" si="38"/>
        <v>19</v>
      </c>
      <c r="B35" s="30" t="s">
        <v>65</v>
      </c>
      <c r="C35" s="29" t="s">
        <v>19</v>
      </c>
      <c r="D35" s="36">
        <f>(D33)*6</f>
        <v>2.9159999999999999</v>
      </c>
      <c r="E35" s="30"/>
    </row>
    <row r="36" outlineLevel="1">
      <c r="A36" s="29">
        <f t="shared" si="38"/>
        <v>20</v>
      </c>
      <c r="B36" s="30" t="s">
        <v>66</v>
      </c>
      <c r="C36" s="29" t="s">
        <v>67</v>
      </c>
      <c r="D36" s="36">
        <f>(D33)*2</f>
        <v>0.97199999999999998</v>
      </c>
      <c r="E36" s="30"/>
    </row>
    <row r="37">
      <c r="A37" s="28" t="s">
        <v>68</v>
      </c>
      <c r="B37" s="28"/>
      <c r="C37" s="28"/>
      <c r="D37" s="28"/>
      <c r="E37" s="28"/>
    </row>
    <row r="38" ht="51" outlineLevel="1">
      <c r="A38" s="29">
        <f>A36+1</f>
        <v>21</v>
      </c>
      <c r="B38" s="30" t="s">
        <v>69</v>
      </c>
      <c r="C38" s="29" t="s">
        <v>70</v>
      </c>
      <c r="D38" s="36">
        <f>ROUND((0.101*78.55)+(12*0.01),4)</f>
        <v>8.0535999999999994</v>
      </c>
      <c r="E38" s="30" t="s">
        <v>71</v>
      </c>
      <c r="F38" s="46"/>
    </row>
    <row r="39" ht="51" outlineLevel="1">
      <c r="A39" s="29">
        <f t="shared" ref="A39:A58" si="39">A38+1</f>
        <v>22</v>
      </c>
      <c r="B39" s="30" t="s">
        <v>72</v>
      </c>
      <c r="C39" s="29" t="s">
        <v>70</v>
      </c>
      <c r="D39" s="36">
        <f>D38</f>
        <v>8.0535999999999994</v>
      </c>
      <c r="E39" s="30" t="str">
        <f>E38</f>
        <v xml:space="preserve">Трубопроводы
Дн=820х5мм - 0,101тн*78,55м
Дн=108х4мм - 0,01тн*12м</v>
      </c>
      <c r="F39" s="46"/>
    </row>
    <row r="40" ht="51" outlineLevel="1">
      <c r="A40" s="29">
        <f t="shared" si="39"/>
        <v>23</v>
      </c>
      <c r="B40" s="30" t="s">
        <v>73</v>
      </c>
      <c r="C40" s="29" t="s">
        <v>70</v>
      </c>
      <c r="D40" s="36">
        <f>D38</f>
        <v>8.0535999999999994</v>
      </c>
      <c r="E40" s="30" t="str">
        <f>E38</f>
        <v xml:space="preserve">Трубопроводы
Дн=820х5мм - 0,101тн*78,55м
Дн=108х4мм - 0,01тн*12м</v>
      </c>
      <c r="F40" s="46"/>
    </row>
    <row r="41" ht="89.25" outlineLevel="1">
      <c r="A41" s="29">
        <f t="shared" si="39"/>
        <v>24</v>
      </c>
      <c r="B41" s="30" t="s">
        <v>74</v>
      </c>
      <c r="C41" s="29" t="s">
        <v>70</v>
      </c>
      <c r="D41" s="36">
        <f>(48*1.8)+(10*0.23)+1.77+(2*3)+(2*3.975)+(3.5)+0.007</f>
        <v>107.92700000000001</v>
      </c>
      <c r="E41" s="30" t="s">
        <v>75</v>
      </c>
      <c r="F41" s="123"/>
    </row>
    <row r="42" ht="89.25" outlineLevel="1">
      <c r="A42" s="29">
        <f t="shared" si="39"/>
        <v>25</v>
      </c>
      <c r="B42" s="30" t="s">
        <v>76</v>
      </c>
      <c r="C42" s="29" t="s">
        <v>70</v>
      </c>
      <c r="D42" s="36">
        <f>D41</f>
        <v>107.92700000000001</v>
      </c>
      <c r="E42" s="30" t="str">
        <f>E41</f>
        <v xml:space="preserve">Лоток Л11-8 (1,8тн; 0,72 м3) - 48 шт
Опорная подушка ОП-7 (0,23тн; 0,09 м3) - 10шт
Балка Б7 - 1 шт (0,71м3, 1,77тн)
Плиты
ПТ 42.15-8АIII-ЛК - 2шт (1,2м3;  3,0тн)
ПТ 54.15-8АIII-ЛК - 2шт (1,59м3;  3,975тн)
ПТ 54.12 - 1шт (1,4м3;  3,5тн)</v>
      </c>
      <c r="F42" s="47"/>
    </row>
    <row r="43" ht="38.25" outlineLevel="1">
      <c r="A43" s="29">
        <f t="shared" si="39"/>
        <v>26</v>
      </c>
      <c r="B43" s="30" t="s">
        <v>77</v>
      </c>
      <c r="C43" s="29" t="s">
        <v>70</v>
      </c>
      <c r="D43" s="36">
        <f>(D26*2.5)</f>
        <v>142.872716</v>
      </c>
      <c r="E43" s="30" t="s">
        <v>78</v>
      </c>
      <c r="F43" s="47"/>
    </row>
    <row r="44" ht="89.25" outlineLevel="1">
      <c r="A44" s="29">
        <f t="shared" si="39"/>
        <v>27</v>
      </c>
      <c r="B44" s="30" t="s">
        <v>79</v>
      </c>
      <c r="C44" s="29" t="s">
        <v>70</v>
      </c>
      <c r="D44" s="36">
        <f>D43</f>
        <v>142.872716</v>
      </c>
      <c r="E44" s="30" t="str">
        <f>E43</f>
        <v xml:space="preserve">ТК-327.15
ТК-327.15А</v>
      </c>
      <c r="F44" s="47"/>
    </row>
    <row r="45" ht="51" outlineLevel="1">
      <c r="A45" s="29">
        <f t="shared" si="39"/>
        <v>28</v>
      </c>
      <c r="B45" s="30" t="s">
        <v>80</v>
      </c>
      <c r="C45" s="29" t="s">
        <v>70</v>
      </c>
      <c r="D45" s="36">
        <f>ROUND((D31)*PI()*(0.82+0.08/1.2)*0.08/1.2*75/1000,3)</f>
        <v>1.202</v>
      </c>
      <c r="E45" s="30"/>
      <c r="F45" s="46"/>
    </row>
    <row r="46" ht="63.75" outlineLevel="1">
      <c r="A46" s="29">
        <f t="shared" si="39"/>
        <v>29</v>
      </c>
      <c r="B46" s="30" t="s">
        <v>81</v>
      </c>
      <c r="C46" s="29" t="s">
        <v>70</v>
      </c>
      <c r="D46" s="36">
        <f>D45</f>
        <v>1.202</v>
      </c>
      <c r="E46" s="30"/>
      <c r="F46" s="46"/>
    </row>
    <row r="47" ht="25.5" outlineLevel="1">
      <c r="A47" s="29">
        <f t="shared" si="39"/>
        <v>30</v>
      </c>
      <c r="B47" s="30" t="s">
        <v>82</v>
      </c>
      <c r="C47" s="29" t="s">
        <v>70</v>
      </c>
      <c r="D47" s="36">
        <f>D46+D44+D42</f>
        <v>252.00171599999999</v>
      </c>
      <c r="E47" s="30"/>
    </row>
    <row r="48" ht="89.25" outlineLevel="1">
      <c r="A48" s="29">
        <f t="shared" si="39"/>
        <v>31</v>
      </c>
      <c r="B48" s="30" t="s">
        <v>83</v>
      </c>
      <c r="C48" s="29" t="s">
        <v>70</v>
      </c>
      <c r="D48" s="36">
        <f>ROUND((10*0.069/2)+(0.249*4)+(4*(0.1428/2)),3)</f>
        <v>1.627</v>
      </c>
      <c r="E48" s="30" t="s">
        <v>84</v>
      </c>
      <c r="F48" s="47"/>
    </row>
    <row r="49" ht="89.25" outlineLevel="1">
      <c r="A49" s="29">
        <f t="shared" si="39"/>
        <v>32</v>
      </c>
      <c r="B49" s="30" t="s">
        <v>85</v>
      </c>
      <c r="C49" s="29" t="s">
        <v>70</v>
      </c>
      <c r="D49" s="36">
        <f>D48</f>
        <v>1.627</v>
      </c>
      <c r="E49" s="30" t="str">
        <f>E48</f>
        <v xml:space="preserve">Скользящие опоры ТС-624.000-057 10шт*0,069тн/2
Заглушки ТС-596.000-13
Ду=800мм - 0,249тн*4шт
Опора неподвижная ТС-664.00-04
НО Ду 800 - 4 шт *0,1428тн/2</v>
      </c>
      <c r="F49" s="47"/>
    </row>
    <row r="50" ht="89.25" outlineLevel="1">
      <c r="A50" s="29">
        <f t="shared" si="39"/>
        <v>33</v>
      </c>
      <c r="B50" s="30" t="s">
        <v>86</v>
      </c>
      <c r="C50" s="29" t="s">
        <v>70</v>
      </c>
      <c r="D50" s="36">
        <f>ROUND((4*0.231)+(2*0.003)+(2*(0.0083/2)),3)</f>
        <v>0.93800000000000006</v>
      </c>
      <c r="E50" s="30" t="s">
        <v>87</v>
      </c>
      <c r="F50" s="47"/>
    </row>
    <row r="51" ht="89.25" outlineLevel="1">
      <c r="A51" s="29">
        <f t="shared" si="39"/>
        <v>34</v>
      </c>
      <c r="B51" s="30" t="s">
        <v>88</v>
      </c>
      <c r="C51" s="29" t="s">
        <v>70</v>
      </c>
      <c r="D51" s="36">
        <f>D50</f>
        <v>0.93800000000000006</v>
      </c>
      <c r="E51" s="30" t="str">
        <f>E50</f>
        <v xml:space="preserve">Отводы 90гр.
Дн=820х6мм - 4шт*0,231тн
Дн=108х5мм - 2шт*0,003тн
Краны
Ду100 - 2шт*0,0083/2=83 кг</v>
      </c>
      <c r="F51" s="47"/>
    </row>
    <row r="52" ht="178.5" outlineLevel="1">
      <c r="A52" s="29">
        <f t="shared" si="39"/>
        <v>35</v>
      </c>
      <c r="B52" s="30" t="s">
        <v>89</v>
      </c>
      <c r="C52" s="29" t="s">
        <v>70</v>
      </c>
      <c r="D52" s="36">
        <f>D48+D50</f>
        <v>2.5649999999999999</v>
      </c>
      <c r="E52" s="30" t="s">
        <v>90</v>
      </c>
      <c r="F52" s="37"/>
    </row>
    <row r="53" ht="140.25" outlineLevel="1">
      <c r="A53" s="29">
        <f t="shared" si="39"/>
        <v>36</v>
      </c>
      <c r="B53" s="30" t="s">
        <v>91</v>
      </c>
      <c r="C53" s="29" t="s">
        <v>70</v>
      </c>
      <c r="D53" s="36">
        <f>ROUND((4*0.863)+(2*0.0777)+(2*0.335)+(4*0.1566)+1.114,3)</f>
        <v>6.0179999999999998</v>
      </c>
      <c r="E53" s="30" t="s">
        <v>92</v>
      </c>
      <c r="F53" s="37"/>
    </row>
    <row r="54" ht="140.25" outlineLevel="1">
      <c r="A54" s="29">
        <f t="shared" si="39"/>
        <v>37</v>
      </c>
      <c r="B54" s="30" t="s">
        <v>93</v>
      </c>
      <c r="C54" s="29" t="s">
        <v>70</v>
      </c>
      <c r="D54" s="36">
        <f>D53</f>
        <v>6.0179999999999998</v>
      </c>
      <c r="E54" s="30" t="s">
        <v>94</v>
      </c>
      <c r="F54" s="37"/>
    </row>
    <row r="55" ht="51" outlineLevel="1">
      <c r="A55" s="29">
        <f t="shared" si="39"/>
        <v>38</v>
      </c>
      <c r="B55" s="30" t="s">
        <v>95</v>
      </c>
      <c r="C55" s="29" t="s">
        <v>70</v>
      </c>
      <c r="D55" s="36">
        <f>ROUND((75.95*0.301)+(12*0.0777),3)</f>
        <v>23.792999999999999</v>
      </c>
      <c r="E55" s="30" t="s">
        <v>96</v>
      </c>
      <c r="F55" s="47"/>
    </row>
    <row r="56" ht="63.75" outlineLevel="1">
      <c r="A56" s="29">
        <f t="shared" si="39"/>
        <v>39</v>
      </c>
      <c r="B56" s="30" t="s">
        <v>97</v>
      </c>
      <c r="C56" s="29" t="s">
        <v>70</v>
      </c>
      <c r="D56" s="36">
        <f>D55</f>
        <v>23.792999999999999</v>
      </c>
      <c r="E56" s="30" t="str">
        <f>E55</f>
        <v xml:space="preserve">Трубопроводы
Дн=1020х12мм - 0,301тн*75,95м
Дн=325х10мм - 0,0777тн*12м</v>
      </c>
      <c r="F56" s="47"/>
    </row>
    <row r="57" ht="63.75" outlineLevel="1">
      <c r="A57" s="29">
        <f t="shared" si="39"/>
        <v>40</v>
      </c>
      <c r="B57" s="30" t="s">
        <v>98</v>
      </c>
      <c r="C57" s="29" t="s">
        <v>70</v>
      </c>
      <c r="D57" s="31">
        <f>ROUND((4.725*1)+(2.38*1)+(22*2.48)+(22*3.75)+(10*0.65),3)</f>
        <v>150.66499999999999</v>
      </c>
      <c r="E57" s="30" t="s">
        <v>99</v>
      </c>
      <c r="F57" s="47"/>
      <c r="G57" s="37"/>
      <c r="H57" s="47"/>
      <c r="I57" s="47"/>
      <c r="J57" s="47"/>
    </row>
    <row r="58" ht="63.75" outlineLevel="1">
      <c r="A58" s="29">
        <f t="shared" si="39"/>
        <v>41</v>
      </c>
      <c r="B58" s="30" t="s">
        <v>100</v>
      </c>
      <c r="C58" s="29" t="s">
        <v>70</v>
      </c>
      <c r="D58" s="31">
        <f>D57</f>
        <v>150.66499999999999</v>
      </c>
      <c r="E58" s="30" t="str">
        <f>E57</f>
        <v xml:space="preserve">Плиты ПТ 63.15-8 ЛК - 1шт (4,725тн; 1,89м3)
Плиты ПТ 63.07 - 1шт (2,38тн; 0,95м3)
Лотки Л15-11 - 24шт (2,48тн; 0,99м3)
Лотки Л17-11 - 24шт (3,75тн; 1,5м3)
опорные подушки ОП-8 - 10шт (0,65тн; 0,26м3)</v>
      </c>
      <c r="F58" s="47"/>
      <c r="G58" s="37"/>
      <c r="H58" s="47"/>
      <c r="I58" s="47"/>
      <c r="J58" s="47"/>
    </row>
    <row r="59">
      <c r="A59" s="28" t="s">
        <v>101</v>
      </c>
      <c r="B59" s="28"/>
      <c r="C59" s="28"/>
      <c r="D59" s="28"/>
      <c r="E59" s="28"/>
    </row>
    <row r="60" ht="25.5" outlineLevel="1">
      <c r="A60" s="29">
        <f>A58+1</f>
        <v>42</v>
      </c>
      <c r="B60" s="30" t="s">
        <v>102</v>
      </c>
      <c r="C60" s="29" t="s">
        <v>103</v>
      </c>
      <c r="D60" s="44">
        <f>ROUND(((3.68+0.2)*0.1*26),1)</f>
        <v>10.100000000000001</v>
      </c>
      <c r="E60" s="30" t="s">
        <v>204</v>
      </c>
      <c r="F60" s="42"/>
    </row>
    <row r="61" ht="51" outlineLevel="1">
      <c r="A61" s="29">
        <f t="shared" ref="A61:A64" si="40">A60+1</f>
        <v>43</v>
      </c>
      <c r="B61" s="30" t="s">
        <v>105</v>
      </c>
      <c r="C61" s="29" t="s">
        <v>106</v>
      </c>
      <c r="D61" s="44">
        <f>ROUND((0.99*22)+(1.5*22)+(0.26*10),1)</f>
        <v>57.400000000000006</v>
      </c>
      <c r="E61" s="30" t="s">
        <v>205</v>
      </c>
      <c r="F61" s="42"/>
    </row>
    <row r="62" ht="25.5" outlineLevel="1">
      <c r="A62" s="29">
        <f t="shared" si="40"/>
        <v>44</v>
      </c>
      <c r="B62" s="30" t="s">
        <v>108</v>
      </c>
      <c r="C62" s="29" t="s">
        <v>19</v>
      </c>
      <c r="D62" s="29">
        <f>ROUND((((1.6*2)+(0.6*4)+(2.05*2)+2.96)*22)*0.002,2)</f>
        <v>0.56000000000000005</v>
      </c>
      <c r="E62" s="30" t="s">
        <v>206</v>
      </c>
      <c r="F62" s="42"/>
    </row>
    <row r="63" ht="25.5" outlineLevel="1">
      <c r="A63" s="29">
        <f t="shared" si="40"/>
        <v>45</v>
      </c>
      <c r="B63" s="30" t="s">
        <v>109</v>
      </c>
      <c r="C63" s="29" t="s">
        <v>110</v>
      </c>
      <c r="D63" s="36">
        <f>ROUND(88*0.0029,3)</f>
        <v>0.255</v>
      </c>
      <c r="E63" s="30" t="s">
        <v>207</v>
      </c>
      <c r="F63" s="42"/>
    </row>
    <row r="64" ht="25.5" outlineLevel="1">
      <c r="A64" s="29">
        <f t="shared" si="40"/>
        <v>46</v>
      </c>
      <c r="B64" s="30" t="s">
        <v>111</v>
      </c>
      <c r="C64" s="29" t="s">
        <v>112</v>
      </c>
      <c r="D64" s="31">
        <f>((2.96*3)+(2.05*4)+(1.84*4))*0.25*22</f>
        <v>134.41999999999999</v>
      </c>
      <c r="E64" s="30" t="s">
        <v>208</v>
      </c>
      <c r="F64" s="35"/>
    </row>
    <row r="65">
      <c r="A65" s="28" t="s">
        <v>16</v>
      </c>
      <c r="B65" s="28"/>
      <c r="C65" s="28"/>
      <c r="D65" s="28"/>
      <c r="E65" s="28"/>
    </row>
    <row r="66" ht="24">
      <c r="A66" s="29">
        <f>A64+1</f>
        <v>47</v>
      </c>
      <c r="B66" s="30" t="s">
        <v>113</v>
      </c>
      <c r="C66" s="29" t="s">
        <v>19</v>
      </c>
      <c r="D66" s="44">
        <f>ROUND(7.4*8.6*0.15,2)</f>
        <v>9.5500000000000007</v>
      </c>
      <c r="E66" s="30" t="s">
        <v>209</v>
      </c>
    </row>
    <row r="67" ht="24">
      <c r="A67" s="29">
        <f t="shared" ref="A67:A71" si="41">A66+1</f>
        <v>48</v>
      </c>
      <c r="B67" s="30" t="s">
        <v>114</v>
      </c>
      <c r="C67" s="29" t="s">
        <v>19</v>
      </c>
      <c r="D67" s="44">
        <f>ROUND(7.4*8.6*0.1,2)</f>
        <v>6.3600000000000003</v>
      </c>
      <c r="E67" s="30" t="s">
        <v>210</v>
      </c>
    </row>
    <row r="68" ht="180">
      <c r="A68" s="29">
        <f t="shared" si="41"/>
        <v>49</v>
      </c>
      <c r="B68" s="30" t="s">
        <v>115</v>
      </c>
      <c r="C68" s="29" t="s">
        <v>19</v>
      </c>
      <c r="D68" s="29">
        <f>161.21+1.89+0.95</f>
        <v>164.04999999999998</v>
      </c>
      <c r="E68" s="30" t="s">
        <v>116</v>
      </c>
      <c r="I68" s="49"/>
    </row>
    <row r="69" ht="60">
      <c r="A69" s="29">
        <f t="shared" si="41"/>
        <v>50</v>
      </c>
      <c r="B69" s="30" t="s">
        <v>117</v>
      </c>
      <c r="C69" s="29" t="s">
        <v>31</v>
      </c>
      <c r="D69" s="44">
        <v>0.11</v>
      </c>
      <c r="E69" s="30" t="s">
        <v>118</v>
      </c>
      <c r="I69" s="49"/>
    </row>
    <row r="70" ht="60">
      <c r="A70" s="29">
        <f t="shared" si="41"/>
        <v>51</v>
      </c>
      <c r="B70" s="30" t="s">
        <v>119</v>
      </c>
      <c r="C70" s="29" t="s">
        <v>31</v>
      </c>
      <c r="D70" s="44">
        <f>D69</f>
        <v>0.11</v>
      </c>
      <c r="E70" s="30" t="str">
        <f>E69</f>
        <v xml:space="preserve">Сталь угловая: 75х75х6 мм - 0,042тн*2шт; Горячекатаная арматурная сталь гладкая класса А-I, диаметром: 18 мм - 0,011тн*2шт; Сталь листовая углеродистая обыкновенного качества марки ВСт3пс5 толщиной: 6 мм - 0,001тн*2шт
Вес наплавленного металла - 0,001тн*2шт</v>
      </c>
      <c r="I70" s="49"/>
    </row>
    <row r="71" ht="24">
      <c r="A71" s="29">
        <f t="shared" si="41"/>
        <v>52</v>
      </c>
      <c r="B71" s="30" t="s">
        <v>120</v>
      </c>
      <c r="C71" s="29" t="s">
        <v>29</v>
      </c>
      <c r="D71" s="29">
        <f>2.7675*2</f>
        <v>5.5350000000000001</v>
      </c>
      <c r="E71" s="30"/>
    </row>
    <row r="72">
      <c r="A72" s="28" t="s">
        <v>17</v>
      </c>
      <c r="B72" s="28"/>
      <c r="C72" s="28"/>
      <c r="D72" s="28"/>
      <c r="E72" s="28"/>
    </row>
    <row r="73" ht="24">
      <c r="A73" s="50">
        <f>A71+1</f>
        <v>53</v>
      </c>
      <c r="B73" s="30" t="s">
        <v>113</v>
      </c>
      <c r="C73" s="29" t="s">
        <v>19</v>
      </c>
      <c r="D73" s="51">
        <f>6*6*0.15</f>
        <v>5.3999999999999995</v>
      </c>
      <c r="E73" s="40" t="s">
        <v>211</v>
      </c>
    </row>
    <row r="74" ht="24">
      <c r="A74" s="50">
        <f t="shared" ref="A74:A78" si="42">A73+1</f>
        <v>54</v>
      </c>
      <c r="B74" s="30" t="s">
        <v>114</v>
      </c>
      <c r="C74" s="29" t="s">
        <v>19</v>
      </c>
      <c r="D74" s="51">
        <f>6*6*0.1</f>
        <v>3.6000000000000001</v>
      </c>
      <c r="E74" s="40" t="s">
        <v>212</v>
      </c>
    </row>
    <row r="75" ht="144">
      <c r="A75" s="50">
        <f t="shared" si="42"/>
        <v>55</v>
      </c>
      <c r="B75" s="30" t="s">
        <v>115</v>
      </c>
      <c r="C75" s="29" t="s">
        <v>19</v>
      </c>
      <c r="D75" s="51">
        <f>((5.8*5.8*0.4)+((3.3*5.8*0.4)-(1.3*1.3*0.4))+(5.8*3.3*0.4*3)-(0.2*0.2*0.4))+0.57*2+0.96*2+0.77*2+0.65</f>
        <v>48.637999999999998</v>
      </c>
      <c r="E75" s="40" t="s">
        <v>121</v>
      </c>
    </row>
    <row r="76" ht="60">
      <c r="A76" s="29">
        <f t="shared" si="42"/>
        <v>56</v>
      </c>
      <c r="B76" s="30" t="s">
        <v>117</v>
      </c>
      <c r="C76" s="29" t="s">
        <v>31</v>
      </c>
      <c r="D76" s="44">
        <v>0.22</v>
      </c>
      <c r="E76" s="30" t="s">
        <v>122</v>
      </c>
    </row>
    <row r="77" ht="60">
      <c r="A77" s="29">
        <f t="shared" si="42"/>
        <v>57</v>
      </c>
      <c r="B77" s="30" t="s">
        <v>119</v>
      </c>
      <c r="C77" s="29" t="s">
        <v>31</v>
      </c>
      <c r="D77" s="44">
        <f>D76</f>
        <v>0.22</v>
      </c>
      <c r="E77" s="30" t="str">
        <f>E76</f>
        <v xml:space="preserve">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</v>
      </c>
    </row>
    <row r="78" ht="24">
      <c r="A78" s="29">
        <f t="shared" si="42"/>
        <v>58</v>
      </c>
      <c r="B78" s="30" t="s">
        <v>120</v>
      </c>
      <c r="C78" s="29" t="s">
        <v>29</v>
      </c>
      <c r="D78" s="29">
        <f>2.7675*4</f>
        <v>11.07</v>
      </c>
      <c r="E78" s="30"/>
    </row>
    <row r="79">
      <c r="A79" s="28" t="s">
        <v>123</v>
      </c>
      <c r="B79" s="28"/>
      <c r="C79" s="28"/>
      <c r="D79" s="28"/>
      <c r="E79" s="28"/>
    </row>
    <row r="80" ht="180" outlineLevel="1">
      <c r="A80" s="38">
        <f>A78+1</f>
        <v>59</v>
      </c>
      <c r="B80" s="30" t="s">
        <v>124</v>
      </c>
      <c r="C80" s="29" t="s">
        <v>57</v>
      </c>
      <c r="D80" s="31">
        <f>ROUND(75.95+(4*2.12)+(4*0.457),1)</f>
        <v>86.300000000000011</v>
      </c>
      <c r="E80" s="30" t="s">
        <v>125</v>
      </c>
    </row>
    <row r="81" ht="36" outlineLevel="1">
      <c r="A81" s="38">
        <f t="shared" ref="A81:A85" si="43">A80+1</f>
        <v>60</v>
      </c>
      <c r="B81" s="30" t="s">
        <v>126</v>
      </c>
      <c r="C81" s="29" t="s">
        <v>110</v>
      </c>
      <c r="D81" s="36">
        <f>10*0.069+0.2622*8</f>
        <v>2.7875999999999999</v>
      </c>
      <c r="E81" s="30" t="s">
        <v>213</v>
      </c>
    </row>
    <row r="82" ht="24" outlineLevel="1">
      <c r="A82" s="38">
        <f t="shared" si="43"/>
        <v>61</v>
      </c>
      <c r="B82" s="30" t="s">
        <v>128</v>
      </c>
      <c r="C82" s="29" t="s">
        <v>129</v>
      </c>
      <c r="D82" s="36">
        <f>ROUND(4*0.249,3)</f>
        <v>0.996</v>
      </c>
      <c r="E82" s="30" t="s">
        <v>130</v>
      </c>
    </row>
    <row r="83" ht="72" outlineLevel="1">
      <c r="A83" s="38">
        <f t="shared" si="43"/>
        <v>62</v>
      </c>
      <c r="B83" s="30" t="s">
        <v>131</v>
      </c>
      <c r="C83" s="29" t="s">
        <v>57</v>
      </c>
      <c r="D83" s="113">
        <f>ROUND(12+2*0.707,1)</f>
        <v>13.4</v>
      </c>
      <c r="E83" s="40" t="s">
        <v>132</v>
      </c>
    </row>
    <row r="84" ht="24" outlineLevel="1">
      <c r="A84" s="38">
        <f t="shared" si="43"/>
        <v>63</v>
      </c>
      <c r="B84" s="30" t="s">
        <v>133</v>
      </c>
      <c r="C84" s="29" t="s">
        <v>49</v>
      </c>
      <c r="D84" s="113">
        <v>2</v>
      </c>
      <c r="E84" s="40" t="s">
        <v>134</v>
      </c>
    </row>
    <row r="85" ht="24" outlineLevel="1">
      <c r="A85" s="38">
        <f t="shared" si="43"/>
        <v>64</v>
      </c>
      <c r="B85" s="30" t="s">
        <v>135</v>
      </c>
      <c r="C85" s="29" t="s">
        <v>57</v>
      </c>
      <c r="D85" s="113">
        <v>10</v>
      </c>
      <c r="E85" s="40" t="s">
        <v>136</v>
      </c>
    </row>
    <row r="86">
      <c r="A86" s="28" t="s">
        <v>137</v>
      </c>
      <c r="B86" s="28"/>
      <c r="C86" s="28"/>
      <c r="D86" s="28"/>
      <c r="E86" s="28"/>
    </row>
    <row r="87" ht="36" outlineLevel="1">
      <c r="A87" s="38">
        <f>A85+1</f>
        <v>65</v>
      </c>
      <c r="B87" s="30" t="s">
        <v>138</v>
      </c>
      <c r="C87" s="29" t="s">
        <v>139</v>
      </c>
      <c r="D87" s="29">
        <v>16</v>
      </c>
      <c r="E87" s="30"/>
    </row>
    <row r="88" ht="36" outlineLevel="1">
      <c r="A88" s="38">
        <f t="shared" ref="A88:A89" si="44">A87+1</f>
        <v>66</v>
      </c>
      <c r="B88" s="30" t="s">
        <v>140</v>
      </c>
      <c r="C88" s="29" t="s">
        <v>139</v>
      </c>
      <c r="D88" s="29">
        <v>12</v>
      </c>
      <c r="E88" s="30"/>
    </row>
    <row r="89" ht="24" outlineLevel="1">
      <c r="A89" s="38">
        <f t="shared" si="44"/>
        <v>67</v>
      </c>
      <c r="B89" s="30" t="s">
        <v>141</v>
      </c>
      <c r="C89" s="29" t="s">
        <v>49</v>
      </c>
      <c r="D89" s="29">
        <v>4</v>
      </c>
      <c r="E89" s="30"/>
    </row>
    <row r="90">
      <c r="A90" s="28" t="s">
        <v>142</v>
      </c>
      <c r="B90" s="28"/>
      <c r="C90" s="28"/>
      <c r="D90" s="28"/>
      <c r="E90" s="28"/>
    </row>
    <row r="91">
      <c r="A91" s="28" t="s">
        <v>143</v>
      </c>
      <c r="B91" s="28"/>
      <c r="C91" s="28"/>
      <c r="D91" s="28"/>
      <c r="E91" s="28"/>
      <c r="F91" s="42"/>
    </row>
    <row r="92" ht="36" outlineLevel="1">
      <c r="A92" s="38">
        <f>A89+1</f>
        <v>68</v>
      </c>
      <c r="B92" s="30" t="s">
        <v>144</v>
      </c>
      <c r="C92" s="29" t="s">
        <v>145</v>
      </c>
      <c r="D92" s="44">
        <f>ROUND(1.02*PI()*0.2*D87,2)</f>
        <v>10.25</v>
      </c>
      <c r="E92" s="30"/>
      <c r="F92" s="35"/>
    </row>
    <row r="93" ht="96" outlineLevel="1">
      <c r="A93" s="38">
        <f t="shared" ref="A93:A98" si="45">A92+1</f>
        <v>69</v>
      </c>
      <c r="B93" s="30" t="s">
        <v>146</v>
      </c>
      <c r="C93" s="29" t="s">
        <v>147</v>
      </c>
      <c r="D93" s="31">
        <f>ROUND(1.02*PI()*(D80),1)</f>
        <v>276.5</v>
      </c>
      <c r="E93" s="30"/>
      <c r="F93" s="35"/>
    </row>
    <row r="94" ht="120" outlineLevel="1">
      <c r="A94" s="38">
        <f t="shared" si="45"/>
        <v>70</v>
      </c>
      <c r="B94" s="30" t="s">
        <v>148</v>
      </c>
      <c r="C94" s="29" t="s">
        <v>149</v>
      </c>
      <c r="D94" s="31">
        <f>ROUND((1.02+(0.1/1))*(0.1/1)*(D80)*PI(),1)</f>
        <v>30.400000000000002</v>
      </c>
      <c r="E94" s="30"/>
      <c r="F94" s="61">
        <f>(3.14*0.61*0.61*86.3)-(3.14*0.51*0.51*86.3)</f>
        <v>30.349983999999992</v>
      </c>
      <c r="G94" s="32"/>
      <c r="H94" s="32"/>
      <c r="I94" s="32"/>
      <c r="J94" s="32"/>
    </row>
    <row r="95" ht="60" outlineLevel="1">
      <c r="A95" s="38">
        <f t="shared" si="45"/>
        <v>71</v>
      </c>
      <c r="B95" s="30" t="s">
        <v>150</v>
      </c>
      <c r="C95" s="29" t="s">
        <v>151</v>
      </c>
      <c r="D95" s="31">
        <f>ROUND((1.02+(0.2/1))*PI()*(D80),1)</f>
        <v>330.80000000000001</v>
      </c>
      <c r="E95" s="30"/>
      <c r="F95" s="55"/>
      <c r="G95" s="55"/>
      <c r="H95" s="55"/>
      <c r="I95" s="55"/>
      <c r="J95" s="55"/>
    </row>
    <row r="96" ht="60" outlineLevel="1">
      <c r="A96" s="56">
        <f t="shared" si="45"/>
        <v>72</v>
      </c>
      <c r="B96" s="57" t="s">
        <v>152</v>
      </c>
      <c r="C96" s="58" t="str">
        <f>C95</f>
        <v xml:space="preserve">м2 поверхности покрытия изоляции</v>
      </c>
      <c r="D96" s="31">
        <f>ROUND((1.02+(0.2/1))*PI()*(D80),1)</f>
        <v>330.80000000000001</v>
      </c>
      <c r="E96" s="30"/>
      <c r="F96" s="55"/>
      <c r="G96" s="55"/>
      <c r="H96" s="55"/>
      <c r="I96" s="55"/>
      <c r="J96" s="55"/>
    </row>
    <row r="97" ht="84" outlineLevel="1">
      <c r="A97" s="38">
        <f t="shared" si="45"/>
        <v>73</v>
      </c>
      <c r="B97" s="30" t="s">
        <v>153</v>
      </c>
      <c r="C97" s="29" t="s">
        <v>31</v>
      </c>
      <c r="D97" s="36">
        <f>((((1.02+(0.2/1))*PI())+0.1)*((D80)*4+6*2))*0.02*6.2/1000</f>
        <v>0.17419220080604486</v>
      </c>
      <c r="E97" s="30"/>
      <c r="F97" s="55"/>
      <c r="G97" s="55"/>
      <c r="H97" s="55"/>
      <c r="I97" s="55"/>
      <c r="J97" s="55"/>
    </row>
    <row r="98" ht="24" outlineLevel="1">
      <c r="A98" s="38">
        <f t="shared" si="45"/>
        <v>74</v>
      </c>
      <c r="B98" s="30" t="s">
        <v>154</v>
      </c>
      <c r="C98" s="29" t="s">
        <v>31</v>
      </c>
      <c r="D98" s="36">
        <f>(((1.02+(0.02/1))*PI())+0.1)*(D80)*7*0.0312/1000</f>
        <v>0.063465778487746066</v>
      </c>
      <c r="E98" s="30"/>
      <c r="F98" s="55"/>
      <c r="G98" s="55"/>
      <c r="H98" s="55"/>
      <c r="I98" s="55"/>
      <c r="J98" s="55"/>
    </row>
    <row r="99">
      <c r="A99" s="28" t="s">
        <v>155</v>
      </c>
      <c r="B99" s="28"/>
      <c r="C99" s="28"/>
      <c r="D99" s="28"/>
      <c r="E99" s="28"/>
    </row>
    <row r="100">
      <c r="A100" s="28" t="s">
        <v>156</v>
      </c>
      <c r="B100" s="28"/>
      <c r="C100" s="28"/>
      <c r="D100" s="28"/>
      <c r="E100" s="28"/>
      <c r="F100" s="35"/>
    </row>
    <row r="101" ht="36" outlineLevel="1">
      <c r="A101" s="38">
        <f>A98+1</f>
        <v>75</v>
      </c>
      <c r="B101" s="30" t="s">
        <v>157</v>
      </c>
      <c r="C101" s="29" t="s">
        <v>158</v>
      </c>
      <c r="D101" s="31">
        <f>((H101-I101)+L14+M14)-(1.68*D109)-(D107*0.37)</f>
        <v>1062.5688149999999</v>
      </c>
      <c r="E101" s="30"/>
      <c r="F101" s="32"/>
      <c r="G101" s="60"/>
      <c r="H101" s="60">
        <f>(((((4.7+7.3)/2)*2.6)*26-(1.48*2*1.4*26))*0.97)</f>
        <v>288.92032</v>
      </c>
      <c r="I101" s="60">
        <f>(((((4.7+7.3)/2)*2.6)*26-(1.84*2*2.05*26))*0.97)</f>
        <v>203.17232000000004</v>
      </c>
      <c r="J101" s="60"/>
    </row>
    <row r="102" ht="24" outlineLevel="1">
      <c r="A102" s="38">
        <f t="shared" ref="A102:A104" si="46">A101+1</f>
        <v>76</v>
      </c>
      <c r="B102" s="30" t="s">
        <v>159</v>
      </c>
      <c r="C102" s="29" t="s">
        <v>158</v>
      </c>
      <c r="D102" s="31">
        <f>ROUND(D101*0.03/0.97,1)</f>
        <v>32.899999999999999</v>
      </c>
      <c r="E102" s="30"/>
      <c r="F102" s="35"/>
    </row>
    <row r="103" outlineLevel="1">
      <c r="A103" s="38">
        <f t="shared" si="46"/>
        <v>77</v>
      </c>
      <c r="B103" s="30" t="s">
        <v>160</v>
      </c>
      <c r="C103" s="29" t="s">
        <v>19</v>
      </c>
      <c r="D103" s="31">
        <f>D101</f>
        <v>1062.5688149999999</v>
      </c>
      <c r="E103" s="30"/>
      <c r="F103" s="35"/>
    </row>
    <row r="104" ht="36" outlineLevel="1">
      <c r="A104" s="38">
        <f t="shared" si="46"/>
        <v>78</v>
      </c>
      <c r="B104" s="30" t="s">
        <v>161</v>
      </c>
      <c r="C104" s="29" t="s">
        <v>19</v>
      </c>
      <c r="D104" s="31">
        <f>D101</f>
        <v>1062.5688149999999</v>
      </c>
      <c r="E104" s="30"/>
    </row>
    <row r="105">
      <c r="A105" s="28" t="s">
        <v>162</v>
      </c>
      <c r="B105" s="28"/>
      <c r="C105" s="28"/>
      <c r="D105" s="28"/>
      <c r="E105" s="28"/>
      <c r="F105" s="42"/>
    </row>
    <row r="106" ht="36" outlineLevel="1">
      <c r="A106" s="38">
        <f>A104+1</f>
        <v>79</v>
      </c>
      <c r="B106" s="30" t="s">
        <v>163</v>
      </c>
      <c r="C106" s="29" t="s">
        <v>164</v>
      </c>
      <c r="D106" s="44">
        <f>D107*0.25</f>
        <v>46.75</v>
      </c>
      <c r="E106" s="30" t="s">
        <v>214</v>
      </c>
      <c r="F106" s="42"/>
    </row>
    <row r="107" ht="84" outlineLevel="1">
      <c r="A107" s="29">
        <f t="shared" ref="A107:A114" si="47">A106+1</f>
        <v>80</v>
      </c>
      <c r="B107" s="30" t="s">
        <v>165</v>
      </c>
      <c r="C107" s="29" t="s">
        <v>166</v>
      </c>
      <c r="D107" s="31">
        <v>187</v>
      </c>
      <c r="E107" s="30" t="s">
        <v>167</v>
      </c>
      <c r="F107" s="61"/>
      <c r="G107" s="62"/>
      <c r="H107" s="62"/>
      <c r="I107" s="62"/>
      <c r="J107" s="62"/>
    </row>
    <row r="108" ht="84" outlineLevel="1">
      <c r="A108" s="29">
        <f t="shared" si="47"/>
        <v>81</v>
      </c>
      <c r="B108" s="30" t="s">
        <v>168</v>
      </c>
      <c r="C108" s="29" t="s">
        <v>166</v>
      </c>
      <c r="D108" s="31">
        <f>D107</f>
        <v>187</v>
      </c>
      <c r="E108" s="30" t="s">
        <v>169</v>
      </c>
      <c r="F108" s="61"/>
      <c r="G108" s="62"/>
      <c r="H108" s="62"/>
      <c r="I108" s="62"/>
      <c r="J108" s="62"/>
    </row>
    <row r="109" ht="24" outlineLevel="1">
      <c r="A109" s="29">
        <f t="shared" si="47"/>
        <v>82</v>
      </c>
      <c r="B109" s="30" t="s">
        <v>170</v>
      </c>
      <c r="C109" s="29" t="s">
        <v>49</v>
      </c>
      <c r="D109" s="31">
        <v>4</v>
      </c>
      <c r="E109" s="30" t="s">
        <v>215</v>
      </c>
      <c r="F109" s="61">
        <f>1.68*D109</f>
        <v>6.7199999999999998</v>
      </c>
      <c r="G109" s="62">
        <f>D109*4.2</f>
        <v>16.800000000000001</v>
      </c>
      <c r="H109" s="62"/>
      <c r="I109" s="62"/>
      <c r="J109" s="62"/>
    </row>
    <row r="110" ht="24" outlineLevel="1">
      <c r="A110" s="29">
        <f t="shared" si="47"/>
        <v>83</v>
      </c>
      <c r="B110" s="30" t="s">
        <v>172</v>
      </c>
      <c r="C110" s="29" t="s">
        <v>49</v>
      </c>
      <c r="D110" s="31">
        <f>D109</f>
        <v>4</v>
      </c>
      <c r="E110" s="30" t="str">
        <f>E109</f>
        <v xml:space="preserve">Плита дорожная ПДН - 4,20тн; 1,68м3 (на 1 ед.) 6,72м3, 16,80тн
Сталь арматурная Ø12мм-АIII по ГОСТ 5781-82 - 0,14тн (на 1 ед.)</v>
      </c>
      <c r="F110" s="61"/>
      <c r="G110" s="62"/>
      <c r="H110" s="62"/>
      <c r="I110" s="62"/>
      <c r="J110" s="62"/>
    </row>
    <row r="111" outlineLevel="1">
      <c r="A111" s="29">
        <f t="shared" si="47"/>
        <v>84</v>
      </c>
      <c r="B111" s="30" t="s">
        <v>173</v>
      </c>
      <c r="C111" s="29" t="s">
        <v>31</v>
      </c>
      <c r="D111" s="36">
        <v>0.44800000000000001</v>
      </c>
      <c r="E111" s="30" t="s">
        <v>174</v>
      </c>
      <c r="F111" s="61"/>
      <c r="G111" s="62"/>
      <c r="H111" s="62"/>
      <c r="I111" s="62"/>
      <c r="J111" s="62"/>
    </row>
    <row r="112" ht="25.5" outlineLevel="1">
      <c r="A112" s="29">
        <f t="shared" si="47"/>
        <v>85</v>
      </c>
      <c r="B112" s="30" t="s">
        <v>175</v>
      </c>
      <c r="C112" s="29" t="s">
        <v>31</v>
      </c>
      <c r="D112" s="36">
        <f>D111</f>
        <v>0.44800000000000001</v>
      </c>
      <c r="E112" s="30" t="str">
        <f>E111</f>
        <v xml:space="preserve">1 секция забора - 0,064тн - 4м (всего 7 секций)</v>
      </c>
      <c r="F112" s="61"/>
      <c r="G112" s="62"/>
      <c r="H112" s="62"/>
      <c r="I112" s="62"/>
      <c r="J112" s="62"/>
    </row>
    <row r="113" outlineLevel="1">
      <c r="A113" s="29">
        <f t="shared" si="47"/>
        <v>86</v>
      </c>
      <c r="B113" s="30" t="s">
        <v>176</v>
      </c>
      <c r="C113" s="29" t="s">
        <v>57</v>
      </c>
      <c r="D113" s="36">
        <v>2.5059999999999998</v>
      </c>
      <c r="E113" s="30"/>
      <c r="F113" s="61"/>
      <c r="G113" s="62"/>
      <c r="H113" s="62"/>
      <c r="I113" s="62"/>
      <c r="J113" s="62"/>
    </row>
    <row r="114" ht="24" outlineLevel="1">
      <c r="A114" s="29">
        <f t="shared" si="47"/>
        <v>87</v>
      </c>
      <c r="B114" s="30" t="s">
        <v>108</v>
      </c>
      <c r="C114" s="29" t="s">
        <v>19</v>
      </c>
      <c r="D114" s="44">
        <v>0.34000000000000002</v>
      </c>
      <c r="E114" s="30"/>
      <c r="F114" s="61"/>
      <c r="G114" s="62"/>
      <c r="H114" s="62"/>
      <c r="I114" s="62"/>
      <c r="J114" s="62"/>
    </row>
    <row r="115">
      <c r="A115" s="28" t="s">
        <v>177</v>
      </c>
      <c r="B115" s="28"/>
      <c r="C115" s="28"/>
      <c r="D115" s="28"/>
      <c r="E115" s="28"/>
    </row>
    <row r="116" ht="36" outlineLevel="1">
      <c r="A116" s="29">
        <f>A114+1</f>
        <v>88</v>
      </c>
      <c r="B116" s="30" t="s">
        <v>178</v>
      </c>
      <c r="C116" s="29" t="s">
        <v>29</v>
      </c>
      <c r="D116" s="29">
        <v>69.290000000000006</v>
      </c>
      <c r="E116" s="30"/>
      <c r="F116" s="46"/>
      <c r="G116" s="55"/>
      <c r="H116" s="55"/>
      <c r="I116" s="55"/>
      <c r="J116" s="55"/>
    </row>
    <row r="117" ht="36" outlineLevel="1">
      <c r="A117" s="29">
        <f>A116+1</f>
        <v>89</v>
      </c>
      <c r="B117" s="30" t="s">
        <v>179</v>
      </c>
      <c r="C117" s="29" t="s">
        <v>29</v>
      </c>
      <c r="D117" s="29">
        <f>D116</f>
        <v>69.290000000000006</v>
      </c>
      <c r="E117" s="30"/>
      <c r="F117" s="55"/>
      <c r="G117" s="55"/>
      <c r="H117" s="55"/>
      <c r="I117" s="55"/>
      <c r="J117" s="55"/>
    </row>
    <row r="119" ht="121.5" customHeight="1">
      <c r="A119" s="15" t="s">
        <v>180</v>
      </c>
      <c r="B119" s="15"/>
      <c r="C119" s="15"/>
      <c r="D119" s="15"/>
      <c r="E119" s="15"/>
    </row>
    <row r="121">
      <c r="A121" s="106" t="s">
        <v>216</v>
      </c>
      <c r="B121" s="106"/>
      <c r="C121" s="106"/>
      <c r="D121" s="17"/>
      <c r="E121" s="124" t="s">
        <v>217</v>
      </c>
    </row>
    <row r="122">
      <c r="A122" s="125"/>
      <c r="B122" s="15"/>
      <c r="C122" s="17"/>
      <c r="D122" s="17"/>
      <c r="E122" s="124"/>
    </row>
    <row r="123" ht="15" customHeight="1">
      <c r="A123" s="66"/>
      <c r="B123" s="66"/>
      <c r="C123" s="66"/>
      <c r="D123" s="67"/>
      <c r="E123" s="66"/>
    </row>
    <row r="124" s="68" customFormat="1" ht="14.25">
      <c r="A124" s="67"/>
      <c r="B124" s="66"/>
      <c r="C124" s="66"/>
      <c r="D124" s="67"/>
      <c r="E124" s="66"/>
      <c r="F124" s="69"/>
      <c r="G124" s="70"/>
    </row>
    <row r="125" s="71" customFormat="1" ht="15" customHeight="1">
      <c r="A125" s="72"/>
      <c r="B125" s="73"/>
      <c r="C125" s="74"/>
      <c r="D125" s="74"/>
      <c r="E125" s="75"/>
      <c r="F125" s="76"/>
      <c r="G125" s="77"/>
    </row>
    <row r="126" s="78" customFormat="1" ht="14.25">
      <c r="A126" s="79"/>
      <c r="B126" s="79"/>
      <c r="C126" s="80"/>
      <c r="D126" s="81"/>
      <c r="E126" s="82"/>
      <c r="F126" s="83"/>
      <c r="G126" s="84"/>
    </row>
    <row r="127" s="78" customFormat="1" ht="14.25">
      <c r="A127" s="85"/>
      <c r="B127" s="86"/>
      <c r="C127" s="87"/>
      <c r="D127" s="87"/>
      <c r="E127" s="88"/>
      <c r="F127" s="83"/>
      <c r="G127" s="84"/>
    </row>
    <row r="128" ht="14.25">
      <c r="A128" s="89"/>
      <c r="B128" s="90"/>
      <c r="C128" s="91"/>
      <c r="D128" s="91"/>
      <c r="E128" s="92"/>
    </row>
    <row r="129">
      <c r="A129" s="93"/>
      <c r="B129" s="94"/>
      <c r="C129" s="94"/>
      <c r="D129" s="93"/>
      <c r="E129" s="95"/>
    </row>
    <row r="130">
      <c r="A130" s="94"/>
      <c r="B130" s="94"/>
      <c r="C130" s="94"/>
      <c r="D130" s="96"/>
      <c r="E130" s="95"/>
    </row>
  </sheetData>
  <mergeCells count="24">
    <mergeCell ref="A2:E2"/>
    <mergeCell ref="A9:E9"/>
    <mergeCell ref="A10:E10"/>
    <mergeCell ref="A13:E13"/>
    <mergeCell ref="A24:E24"/>
    <mergeCell ref="A25:E25"/>
    <mergeCell ref="A29:E29"/>
    <mergeCell ref="A37:E37"/>
    <mergeCell ref="A59:E59"/>
    <mergeCell ref="A65:E65"/>
    <mergeCell ref="A72:E72"/>
    <mergeCell ref="A79:E79"/>
    <mergeCell ref="A86:E86"/>
    <mergeCell ref="A90:E90"/>
    <mergeCell ref="A91:E91"/>
    <mergeCell ref="A99:E99"/>
    <mergeCell ref="A100:E100"/>
    <mergeCell ref="A105:E105"/>
    <mergeCell ref="A115:E115"/>
    <mergeCell ref="A119:E119"/>
    <mergeCell ref="A121:C121"/>
    <mergeCell ref="A123:C123"/>
    <mergeCell ref="A126:B126"/>
    <mergeCell ref="A130:C130"/>
  </mergeCells>
  <printOptions headings="0" gridLines="0"/>
  <pageMargins left="0.51000000000000023" right="0.39370078740157477" top="0.3600000000000001" bottom="0.46000000000000008" header="0" footer="0.19685039370078738"/>
  <pageSetup paperSize="9" scale="7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&amp;R&amp;"Times New Roman,Regular "Страница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10" zoomScale="85" workbookViewId="0">
      <selection activeCell="E112" activeCellId="0" sqref="E112"/>
    </sheetView>
  </sheetViews>
  <sheetFormatPr defaultColWidth="9.140625" defaultRowHeight="12.75" outlineLevelRow="1"/>
  <cols>
    <col customWidth="1" min="1" max="1" style="2" width="4.42578125"/>
    <col customWidth="1" min="2" max="2" style="3" width="40.85546875"/>
    <col customWidth="1" min="3" max="3" style="4" width="14.85546875"/>
    <col customWidth="1" min="4" max="4" style="4" width="10.85546875"/>
    <col customWidth="1" min="5" max="5" style="5" width="63.28515625"/>
    <col customWidth="1" min="6" max="6" style="6" width="43.5703125"/>
    <col customWidth="1" min="7" max="7" style="7" width="9.140625"/>
    <col customWidth="1" min="8" max="8" style="1" width="11.140625"/>
    <col customWidth="1" min="9" max="10" style="1" width="10"/>
    <col customWidth="1" min="11" max="12" style="1" width="9.140625"/>
    <col customWidth="1" min="13" max="13" style="1" width="17"/>
    <col customWidth="1" min="14" max="19" style="1" width="9.140625"/>
    <col min="20" max="22" style="1" width="9.140625"/>
    <col customWidth="1" min="23" max="23" style="1" width="9.140625"/>
    <col min="24" max="16384" style="1" width="9.140625"/>
  </cols>
  <sheetData>
    <row r="1">
      <c r="A1" s="99"/>
      <c r="B1" s="100"/>
      <c r="C1" s="99"/>
      <c r="D1" s="101"/>
      <c r="E1" s="1"/>
      <c r="F1" s="49"/>
      <c r="G1" s="12"/>
      <c r="H1" s="13"/>
    </row>
    <row r="2" ht="15">
      <c r="A2" s="102" t="s">
        <v>181</v>
      </c>
      <c r="B2" s="102"/>
      <c r="C2" s="102"/>
      <c r="D2" s="102"/>
      <c r="E2" s="102"/>
      <c r="F2" s="49"/>
      <c r="G2" s="12"/>
      <c r="H2" s="13"/>
    </row>
    <row r="3">
      <c r="A3" s="103"/>
      <c r="B3" s="104"/>
      <c r="C3" s="17"/>
      <c r="D3" s="20"/>
      <c r="E3" s="105"/>
      <c r="F3" s="49"/>
      <c r="G3" s="12"/>
      <c r="H3" s="13"/>
    </row>
    <row r="4" ht="15.75">
      <c r="A4" s="106"/>
      <c r="B4" s="15"/>
      <c r="C4" s="17"/>
      <c r="D4" s="20"/>
      <c r="E4" s="107" t="s">
        <v>0</v>
      </c>
      <c r="F4" s="49"/>
      <c r="G4" s="12"/>
      <c r="H4" s="13"/>
    </row>
    <row r="5" ht="9.75" customHeight="1">
      <c r="A5" s="106"/>
      <c r="B5" s="15"/>
      <c r="C5" s="17"/>
      <c r="D5" s="20"/>
      <c r="E5" s="107"/>
      <c r="F5" s="49"/>
      <c r="G5" s="12"/>
      <c r="H5" s="13"/>
    </row>
    <row r="6">
      <c r="A6" s="108"/>
      <c r="B6" s="15"/>
      <c r="C6" s="17"/>
      <c r="D6" s="20"/>
      <c r="E6" s="18" t="s">
        <v>190</v>
      </c>
      <c r="F6" s="49"/>
      <c r="G6" s="12"/>
      <c r="H6" s="13"/>
    </row>
    <row r="7">
      <c r="A7" s="108"/>
      <c r="B7" s="15"/>
      <c r="C7" s="17"/>
      <c r="D7" s="20"/>
      <c r="E7" s="18" t="s">
        <v>191</v>
      </c>
      <c r="F7" s="49"/>
      <c r="G7" s="12"/>
      <c r="H7" s="13"/>
    </row>
    <row r="8">
      <c r="A8" s="108"/>
      <c r="B8" s="15"/>
      <c r="C8" s="17"/>
      <c r="D8" s="20"/>
      <c r="E8" s="10" t="s">
        <v>183</v>
      </c>
      <c r="F8" s="49"/>
      <c r="G8" s="12"/>
      <c r="H8" s="13"/>
    </row>
    <row r="9" ht="39.75" customHeight="1">
      <c r="A9" s="22" t="s">
        <v>4</v>
      </c>
      <c r="B9" s="21"/>
      <c r="C9" s="21"/>
      <c r="D9" s="21"/>
      <c r="E9" s="21"/>
      <c r="G9" s="12"/>
      <c r="H9" s="13"/>
    </row>
    <row r="10" ht="60" customHeight="1">
      <c r="A10" s="109" t="s">
        <v>192</v>
      </c>
      <c r="B10" s="21"/>
      <c r="C10" s="21"/>
      <c r="D10" s="21"/>
      <c r="E10" s="21"/>
      <c r="F10" s="19"/>
      <c r="G10" s="12"/>
      <c r="H10" s="13"/>
    </row>
    <row r="11" ht="40.5" customHeight="1">
      <c r="A11" s="23" t="s">
        <v>6</v>
      </c>
      <c r="B11" s="24" t="s">
        <v>7</v>
      </c>
      <c r="C11" s="24" t="s">
        <v>8</v>
      </c>
      <c r="D11" s="24" t="s">
        <v>9</v>
      </c>
      <c r="E11" s="25" t="s">
        <v>10</v>
      </c>
      <c r="M11" s="110"/>
      <c r="P11" s="1">
        <v>1</v>
      </c>
      <c r="R11" s="1">
        <v>1</v>
      </c>
      <c r="S11" s="1">
        <v>1</v>
      </c>
    </row>
    <row r="12">
      <c r="A12" s="26">
        <v>1</v>
      </c>
      <c r="B12" s="27">
        <v>2</v>
      </c>
      <c r="C12" s="27">
        <v>3</v>
      </c>
      <c r="D12" s="27">
        <v>4</v>
      </c>
      <c r="E12" s="25">
        <v>5</v>
      </c>
      <c r="P12" s="1">
        <f>8.3-P11</f>
        <v>7.3000000000000007</v>
      </c>
      <c r="R12" s="1">
        <f>12.9-R11</f>
        <v>11.9</v>
      </c>
      <c r="S12" s="1">
        <f>7.8-S11</f>
        <v>6.7999999999999998</v>
      </c>
    </row>
    <row r="13">
      <c r="A13" s="28" t="s">
        <v>11</v>
      </c>
      <c r="B13" s="28"/>
      <c r="C13" s="28"/>
      <c r="D13" s="28"/>
      <c r="E13" s="28"/>
      <c r="G13" s="7" t="s">
        <v>12</v>
      </c>
      <c r="H13" s="1" t="s">
        <v>13</v>
      </c>
      <c r="I13" s="1" t="s">
        <v>14</v>
      </c>
      <c r="K13" s="1" t="s">
        <v>15</v>
      </c>
      <c r="L13" s="1" t="s">
        <v>16</v>
      </c>
      <c r="M13" s="1" t="s">
        <v>17</v>
      </c>
    </row>
    <row r="14" ht="89.25" outlineLevel="1">
      <c r="A14" s="29">
        <v>1</v>
      </c>
      <c r="B14" s="30" t="s">
        <v>18</v>
      </c>
      <c r="C14" s="29" t="s">
        <v>19</v>
      </c>
      <c r="D14" s="44">
        <f>K14+L14+M14</f>
        <v>1341.6511350000001</v>
      </c>
      <c r="E14" s="30" t="s">
        <v>193</v>
      </c>
      <c r="F14" s="32"/>
      <c r="G14" s="33" t="s">
        <v>21</v>
      </c>
      <c r="H14" s="34" t="s">
        <v>22</v>
      </c>
      <c r="I14" s="34" t="s">
        <v>23</v>
      </c>
      <c r="K14" s="112">
        <f>(((((4.7+P12)/2)*2.6)*26-(1.48*2*1.4*26))*0.97)</f>
        <v>288.92032</v>
      </c>
      <c r="L14" s="1">
        <f>((5.25/6*(((2*O15+O16)*P15)+((2*O16+O15)*P16)))-(4.5*3*3))*0.97</f>
        <v>813.21647500000006</v>
      </c>
      <c r="M14" s="1">
        <f>((3.4/6*(((2*R12+S12)*R12)+((2*S12+R12)*S12)))-(5.06*3.8*3))*0.97</f>
        <v>239.51434000000003</v>
      </c>
      <c r="O14" s="1">
        <v>1</v>
      </c>
      <c r="P14" s="1">
        <v>1</v>
      </c>
    </row>
    <row r="15" ht="38.25" outlineLevel="1">
      <c r="A15" s="29">
        <f t="shared" ref="A15:A23" si="48">A14+1</f>
        <v>2</v>
      </c>
      <c r="B15" s="30" t="s">
        <v>24</v>
      </c>
      <c r="C15" s="29" t="s">
        <v>19</v>
      </c>
      <c r="D15" s="44">
        <f>K15</f>
        <v>8.9356799999999996</v>
      </c>
      <c r="E15" s="30" t="s">
        <v>194</v>
      </c>
      <c r="F15" s="35"/>
      <c r="K15" s="1">
        <f>(((((4.7+P12)/2)*2.6)*26-(1.48*2*1.4*26))*0.03)</f>
        <v>8.9356799999999996</v>
      </c>
      <c r="L15" s="1">
        <f>((5.25/6*(((2*O15+O16)*P15)+((2*O16+O15)*P16)))-(4.5*3*3))*0.03</f>
        <v>25.151025000000001</v>
      </c>
      <c r="M15" s="1">
        <f>((3.4/6*(((2*R12+S12)*R12)+((2*S12+R12)*S12)))-(5.06*3.8*3))*0.03</f>
        <v>7.4076600000000017</v>
      </c>
      <c r="O15" s="1">
        <f>18.3-O14</f>
        <v>17.300000000000001</v>
      </c>
      <c r="P15" s="1">
        <f>17.1-P14</f>
        <v>16.100000000000001</v>
      </c>
    </row>
    <row r="16" ht="89.25" outlineLevel="1">
      <c r="A16" s="29">
        <f t="shared" si="48"/>
        <v>3</v>
      </c>
      <c r="B16" s="30" t="s">
        <v>26</v>
      </c>
      <c r="C16" s="29" t="s">
        <v>19</v>
      </c>
      <c r="D16" s="44">
        <f>L15+M15</f>
        <v>32.558685000000004</v>
      </c>
      <c r="E16" s="30" t="s">
        <v>195</v>
      </c>
      <c r="F16" s="35"/>
      <c r="G16" s="122">
        <f>((((((4.7+7.3)/2)*2.6)*26)-(1.48*2*1.4*26))*0.97)+
(((5.25/6*(((2*17.3+9.4)*16.1)+((2*9.4+17.3)*8.2)))-(4.5*3*3))*0.97)+(((3.4/6*(((2*11.9+6.8)*11.9)+((2*6.8+11.9)*6.8)))-(5.06*3.8*3))*0.97)</f>
        <v>1341.6511350000001</v>
      </c>
      <c r="H16" s="122">
        <f>(((((4.7+7.3)/2)*2.6)*26)-(1.48*2*1.4*26))*0.03</f>
        <v>8.9356799999999996</v>
      </c>
      <c r="I16" s="7">
        <f>(((5.25/6*(((2*17.3+9.4)*16.1)+((2*9.4+17.3)*8.2)))-(4.5*3*3))*0.03)+(((3.4/6*(((2*11.9+6.8)*11.9)+((2*6.8+11.9)*6.8)))-(5.06*3.8*3))*0.03)</f>
        <v>32.558685000000004</v>
      </c>
      <c r="O16" s="1">
        <f>10.4-1</f>
        <v>9.4000000000000004</v>
      </c>
      <c r="P16" s="1">
        <f>9.2-1</f>
        <v>8.1999999999999993</v>
      </c>
      <c r="Q16" s="1">
        <v>5.25</v>
      </c>
    </row>
    <row r="17" ht="38.25" outlineLevel="1">
      <c r="A17" s="29">
        <f t="shared" si="48"/>
        <v>4</v>
      </c>
      <c r="B17" s="30" t="s">
        <v>28</v>
      </c>
      <c r="C17" s="29" t="s">
        <v>29</v>
      </c>
      <c r="D17" s="44">
        <f>J17</f>
        <v>267.75</v>
      </c>
      <c r="E17" s="30" t="s">
        <v>196</v>
      </c>
      <c r="F17" s="35"/>
      <c r="J17" s="1">
        <f>((O15+O16)/2*Q16*2)+((P15+P16)/2*Q16*2)</f>
        <v>267.75</v>
      </c>
      <c r="K17" s="1">
        <f>((17.3+9.4)/2*5.25*2)+((16.1+8.2)/2*5.25*2)</f>
        <v>267.75</v>
      </c>
    </row>
    <row r="18" ht="38.25" outlineLevel="1">
      <c r="A18" s="29">
        <f t="shared" si="48"/>
        <v>5</v>
      </c>
      <c r="B18" s="30" t="s">
        <v>30</v>
      </c>
      <c r="C18" s="29" t="s">
        <v>31</v>
      </c>
      <c r="D18" s="44">
        <f>ROUND((D15+D16)*1.95,2)</f>
        <v>80.909999999999997</v>
      </c>
      <c r="E18" s="30" t="s">
        <v>197</v>
      </c>
      <c r="F18" s="37"/>
    </row>
    <row r="19" ht="36.75" customHeight="1" outlineLevel="1">
      <c r="A19" s="29">
        <f t="shared" si="48"/>
        <v>6</v>
      </c>
      <c r="B19" s="30" t="s">
        <v>33</v>
      </c>
      <c r="C19" s="29" t="s">
        <v>19</v>
      </c>
      <c r="D19" s="44">
        <f>((1.28*2)*0.2)*24</f>
        <v>12.288</v>
      </c>
      <c r="E19" s="30" t="s">
        <v>34</v>
      </c>
      <c r="F19" s="35"/>
    </row>
    <row r="20" ht="36" customHeight="1" outlineLevel="1">
      <c r="A20" s="29">
        <f t="shared" si="48"/>
        <v>7</v>
      </c>
      <c r="B20" s="30" t="s">
        <v>35</v>
      </c>
      <c r="C20" s="29" t="s">
        <v>31</v>
      </c>
      <c r="D20" s="36">
        <f>ROUND(D19*1.95,3)</f>
        <v>23.962</v>
      </c>
      <c r="E20" s="30" t="s">
        <v>36</v>
      </c>
      <c r="F20" s="37"/>
    </row>
    <row r="21" ht="42.75" customHeight="1" outlineLevel="1">
      <c r="A21" s="29">
        <f t="shared" si="48"/>
        <v>8</v>
      </c>
      <c r="B21" s="30" t="s">
        <v>37</v>
      </c>
      <c r="C21" s="29" t="s">
        <v>31</v>
      </c>
      <c r="D21" s="44">
        <f>ROUND((D14+D15+D16+12.3)*1.95,3)</f>
        <v>2721.1190000000001</v>
      </c>
      <c r="E21" s="30" t="s">
        <v>198</v>
      </c>
      <c r="F21" s="35"/>
    </row>
    <row r="22" outlineLevel="1">
      <c r="A22" s="29">
        <f t="shared" si="48"/>
        <v>9</v>
      </c>
      <c r="B22" s="30" t="s">
        <v>39</v>
      </c>
      <c r="C22" s="29" t="s">
        <v>19</v>
      </c>
      <c r="D22" s="44">
        <f>ROUND(D14+D15+D16+D19,1)</f>
        <v>1395.4000000000001</v>
      </c>
      <c r="E22" s="30" t="s">
        <v>199</v>
      </c>
      <c r="F22" s="35"/>
    </row>
    <row r="23" outlineLevel="1">
      <c r="A23" s="29">
        <f t="shared" si="48"/>
        <v>10</v>
      </c>
      <c r="B23" s="30" t="s">
        <v>41</v>
      </c>
      <c r="C23" s="29" t="s">
        <v>42</v>
      </c>
      <c r="D23" s="38">
        <f>ROUND(D22*2/50,1)</f>
        <v>55.800000000000004</v>
      </c>
      <c r="E23" s="30" t="s">
        <v>200</v>
      </c>
      <c r="F23" s="35"/>
    </row>
    <row r="24">
      <c r="A24" s="28" t="s">
        <v>44</v>
      </c>
      <c r="B24" s="28"/>
      <c r="C24" s="28"/>
      <c r="D24" s="28"/>
      <c r="E24" s="28"/>
    </row>
    <row r="25">
      <c r="A25" s="28" t="s">
        <v>45</v>
      </c>
      <c r="B25" s="28"/>
      <c r="C25" s="28"/>
      <c r="D25" s="28"/>
      <c r="E25" s="28"/>
    </row>
    <row r="26" ht="127.5">
      <c r="A26" s="29">
        <f>A23+1</f>
        <v>11</v>
      </c>
      <c r="B26" s="30" t="s">
        <v>46</v>
      </c>
      <c r="C26" s="29" t="s">
        <v>19</v>
      </c>
      <c r="D26" s="44">
        <f>J26+K26</f>
        <v>57.149086400000002</v>
      </c>
      <c r="E26" s="40" t="s">
        <v>201</v>
      </c>
      <c r="J26" s="41">
        <f>((4.5*3*0.8)+((4.5*3*0.8)-(0.51*0.51*3.14*0.8*2))+((4.5*3*0.4)-(0.51*0.51*3.14*0.4*2))+(2.2*3*0.4*2))-1.31</f>
        <v>29.009886400000003</v>
      </c>
      <c r="K26" s="41">
        <f>((5.06*3.8*0.4)+(((3.8*3*0.4)*2)-((1*1*0.4)*2))+(((5.06*3*0.4)*2)-(0.2*0.2*0.4)))</f>
        <v>28.139199999999999</v>
      </c>
      <c r="L26" s="41"/>
    </row>
    <row r="27">
      <c r="A27" s="29">
        <f t="shared" ref="A27:A28" si="49">A26+1</f>
        <v>12</v>
      </c>
      <c r="B27" s="30" t="s">
        <v>48</v>
      </c>
      <c r="C27" s="29" t="s">
        <v>49</v>
      </c>
      <c r="D27" s="29">
        <v>1</v>
      </c>
      <c r="E27" s="30" t="s">
        <v>50</v>
      </c>
    </row>
    <row r="28" ht="165.75">
      <c r="A28" s="29">
        <f t="shared" si="49"/>
        <v>13</v>
      </c>
      <c r="B28" s="30" t="s">
        <v>51</v>
      </c>
      <c r="C28" s="29" t="s">
        <v>31</v>
      </c>
      <c r="D28" s="29">
        <v>0.44</v>
      </c>
      <c r="E28" s="40" t="s">
        <v>52</v>
      </c>
    </row>
    <row r="29">
      <c r="A29" s="28" t="s">
        <v>53</v>
      </c>
      <c r="B29" s="28"/>
      <c r="C29" s="28"/>
      <c r="D29" s="28"/>
      <c r="E29" s="28"/>
      <c r="F29" s="42"/>
    </row>
    <row r="30" ht="63.75" outlineLevel="1">
      <c r="A30" s="29">
        <f>A28+1</f>
        <v>14</v>
      </c>
      <c r="B30" s="30" t="s">
        <v>54</v>
      </c>
      <c r="C30" s="29" t="s">
        <v>19</v>
      </c>
      <c r="D30" s="29">
        <f>ROUND((0.72*24)+(0.09*10),1)</f>
        <v>18.199999999999999</v>
      </c>
      <c r="E30" s="30" t="s">
        <v>55</v>
      </c>
      <c r="F30" s="42"/>
    </row>
    <row r="31" ht="153" outlineLevel="1">
      <c r="A31" s="29">
        <f t="shared" ref="A31:A36" si="50">A30+1</f>
        <v>15</v>
      </c>
      <c r="B31" s="30" t="s">
        <v>56</v>
      </c>
      <c r="C31" s="29" t="s">
        <v>57</v>
      </c>
      <c r="D31" s="31">
        <f>(39.04+37.56+1+0.95)+(4*1.932)</f>
        <v>86.277999999999992</v>
      </c>
      <c r="E31" s="30" t="s">
        <v>58</v>
      </c>
      <c r="J31" s="41"/>
      <c r="N31" s="41"/>
    </row>
    <row r="32" ht="25.5" outlineLevel="1">
      <c r="A32" s="29">
        <f t="shared" si="50"/>
        <v>16</v>
      </c>
      <c r="B32" s="30" t="s">
        <v>59</v>
      </c>
      <c r="C32" s="29" t="s">
        <v>60</v>
      </c>
      <c r="D32" s="31">
        <f>ROUND(((0.82+(0.16/1.2))*3.14*(D31)),1)</f>
        <v>258.30000000000001</v>
      </c>
      <c r="E32" s="30" t="s">
        <v>202</v>
      </c>
    </row>
    <row r="33" ht="89.25" outlineLevel="1">
      <c r="A33" s="29">
        <f t="shared" si="50"/>
        <v>17</v>
      </c>
      <c r="B33" s="30" t="s">
        <v>61</v>
      </c>
      <c r="C33" s="29" t="s">
        <v>31</v>
      </c>
      <c r="D33" s="36">
        <f>ROUND((10*0.04/2)+(4*0.1428/2),3)</f>
        <v>0.48599999999999999</v>
      </c>
      <c r="E33" s="30" t="s">
        <v>62</v>
      </c>
    </row>
    <row r="34" ht="51" outlineLevel="1">
      <c r="A34" s="29">
        <f t="shared" si="50"/>
        <v>18</v>
      </c>
      <c r="B34" s="30" t="s">
        <v>63</v>
      </c>
      <c r="C34" s="29" t="s">
        <v>57</v>
      </c>
      <c r="D34" s="44">
        <f>12+(2*0.325)+(2*0.234)</f>
        <v>13.118</v>
      </c>
      <c r="E34" s="30" t="s">
        <v>203</v>
      </c>
    </row>
    <row r="35" ht="12" customHeight="1" outlineLevel="1">
      <c r="A35" s="29">
        <f t="shared" si="50"/>
        <v>19</v>
      </c>
      <c r="B35" s="30" t="s">
        <v>65</v>
      </c>
      <c r="C35" s="29" t="s">
        <v>19</v>
      </c>
      <c r="D35" s="36">
        <f>(D33)*6</f>
        <v>2.9159999999999999</v>
      </c>
      <c r="E35" s="30"/>
    </row>
    <row r="36" outlineLevel="1">
      <c r="A36" s="29">
        <f t="shared" si="50"/>
        <v>20</v>
      </c>
      <c r="B36" s="30" t="s">
        <v>66</v>
      </c>
      <c r="C36" s="29" t="s">
        <v>67</v>
      </c>
      <c r="D36" s="36">
        <f>(D33)*2</f>
        <v>0.97199999999999998</v>
      </c>
      <c r="E36" s="30"/>
    </row>
    <row r="37">
      <c r="A37" s="28" t="s">
        <v>68</v>
      </c>
      <c r="B37" s="28"/>
      <c r="C37" s="28"/>
      <c r="D37" s="28"/>
      <c r="E37" s="28"/>
    </row>
    <row r="38" ht="51" outlineLevel="1">
      <c r="A38" s="29">
        <f>A36+1</f>
        <v>21</v>
      </c>
      <c r="B38" s="30" t="s">
        <v>69</v>
      </c>
      <c r="C38" s="29" t="s">
        <v>70</v>
      </c>
      <c r="D38" s="36">
        <f>ROUND((0.101*78.55)+(12*0.01),4)</f>
        <v>8.0535999999999994</v>
      </c>
      <c r="E38" s="30" t="s">
        <v>71</v>
      </c>
      <c r="F38" s="46"/>
    </row>
    <row r="39" ht="51" outlineLevel="1">
      <c r="A39" s="29">
        <f t="shared" ref="A39:A58" si="51">A38+1</f>
        <v>22</v>
      </c>
      <c r="B39" s="30" t="s">
        <v>72</v>
      </c>
      <c r="C39" s="29" t="s">
        <v>70</v>
      </c>
      <c r="D39" s="36">
        <f>D38</f>
        <v>8.0535999999999994</v>
      </c>
      <c r="E39" s="30" t="str">
        <f>E38</f>
        <v xml:space="preserve">Трубопроводы
Дн=820х5мм - 0,101тн*78,55м
Дн=108х4мм - 0,01тн*12м</v>
      </c>
      <c r="F39" s="46"/>
    </row>
    <row r="40" ht="51" outlineLevel="1">
      <c r="A40" s="29">
        <f t="shared" si="51"/>
        <v>23</v>
      </c>
      <c r="B40" s="30" t="s">
        <v>73</v>
      </c>
      <c r="C40" s="29" t="s">
        <v>70</v>
      </c>
      <c r="D40" s="36">
        <f>D38</f>
        <v>8.0535999999999994</v>
      </c>
      <c r="E40" s="30" t="str">
        <f>E38</f>
        <v xml:space="preserve">Трубопроводы
Дн=820х5мм - 0,101тн*78,55м
Дн=108х4мм - 0,01тн*12м</v>
      </c>
      <c r="F40" s="46"/>
    </row>
    <row r="41" ht="89.25" outlineLevel="1">
      <c r="A41" s="29">
        <f t="shared" si="51"/>
        <v>24</v>
      </c>
      <c r="B41" s="30" t="s">
        <v>74</v>
      </c>
      <c r="C41" s="29" t="s">
        <v>70</v>
      </c>
      <c r="D41" s="36">
        <f>(48*1.8)+(10*0.23)+1.77+(2*3)+(2*3.975)+(3.5)+0.007</f>
        <v>107.92700000000001</v>
      </c>
      <c r="E41" s="30" t="s">
        <v>75</v>
      </c>
      <c r="F41" s="123"/>
    </row>
    <row r="42" ht="89.25" outlineLevel="1">
      <c r="A42" s="29">
        <f t="shared" si="51"/>
        <v>25</v>
      </c>
      <c r="B42" s="30" t="s">
        <v>76</v>
      </c>
      <c r="C42" s="29" t="s">
        <v>70</v>
      </c>
      <c r="D42" s="36">
        <f>D41</f>
        <v>107.92700000000001</v>
      </c>
      <c r="E42" s="30" t="str">
        <f>E41</f>
        <v xml:space="preserve">Лоток Л11-8 (1,8тн; 0,72 м3) - 48 шт
Опорная подушка ОП-7 (0,23тн; 0,09 м3) - 10шт
Балка Б7 - 1 шт (0,71м3, 1,77тн)
Плиты
ПТ 42.15-8АIII-ЛК - 2шт (1,2м3;  3,0тн)
ПТ 54.15-8АIII-ЛК - 2шт (1,59м3;  3,975тн)
ПТ 54.12 - 1шт (1,4м3;  3,5тн)</v>
      </c>
      <c r="F42" s="47"/>
    </row>
    <row r="43" ht="38.25" outlineLevel="1">
      <c r="A43" s="29">
        <f t="shared" si="51"/>
        <v>26</v>
      </c>
      <c r="B43" s="30" t="s">
        <v>77</v>
      </c>
      <c r="C43" s="29" t="s">
        <v>70</v>
      </c>
      <c r="D43" s="36">
        <f>(D26*2.5)</f>
        <v>142.872716</v>
      </c>
      <c r="E43" s="30" t="s">
        <v>78</v>
      </c>
      <c r="F43" s="47"/>
    </row>
    <row r="44" ht="89.25" outlineLevel="1">
      <c r="A44" s="29">
        <f t="shared" si="51"/>
        <v>27</v>
      </c>
      <c r="B44" s="30" t="s">
        <v>79</v>
      </c>
      <c r="C44" s="29" t="s">
        <v>70</v>
      </c>
      <c r="D44" s="36">
        <f>D43</f>
        <v>142.872716</v>
      </c>
      <c r="E44" s="30" t="str">
        <f>E43</f>
        <v xml:space="preserve">ТК-327.15
ТК-327.15А</v>
      </c>
      <c r="F44" s="47"/>
    </row>
    <row r="45" ht="51" outlineLevel="1">
      <c r="A45" s="29">
        <f t="shared" si="51"/>
        <v>28</v>
      </c>
      <c r="B45" s="30" t="s">
        <v>80</v>
      </c>
      <c r="C45" s="29" t="s">
        <v>70</v>
      </c>
      <c r="D45" s="36">
        <f>ROUND((D31)*PI()*(0.82+0.08/1.2)*0.08/1.2*75/1000,3)</f>
        <v>1.202</v>
      </c>
      <c r="E45" s="30"/>
      <c r="F45" s="46"/>
    </row>
    <row r="46" ht="63.75" outlineLevel="1">
      <c r="A46" s="29">
        <f t="shared" si="51"/>
        <v>29</v>
      </c>
      <c r="B46" s="30" t="s">
        <v>81</v>
      </c>
      <c r="C46" s="29" t="s">
        <v>70</v>
      </c>
      <c r="D46" s="36">
        <f>D45</f>
        <v>1.202</v>
      </c>
      <c r="E46" s="30"/>
      <c r="F46" s="46"/>
    </row>
    <row r="47" ht="25.5" outlineLevel="1">
      <c r="A47" s="29">
        <f t="shared" si="51"/>
        <v>30</v>
      </c>
      <c r="B47" s="30" t="s">
        <v>82</v>
      </c>
      <c r="C47" s="29" t="s">
        <v>70</v>
      </c>
      <c r="D47" s="36">
        <f>D46+D44+D42</f>
        <v>252.00171599999999</v>
      </c>
      <c r="E47" s="30"/>
    </row>
    <row r="48" ht="89.25" outlineLevel="1">
      <c r="A48" s="29">
        <f t="shared" si="51"/>
        <v>31</v>
      </c>
      <c r="B48" s="30" t="s">
        <v>83</v>
      </c>
      <c r="C48" s="29" t="s">
        <v>70</v>
      </c>
      <c r="D48" s="36">
        <f>ROUND((10*0.069/2)+(0.249*4)+(4*(0.1428/2)),3)</f>
        <v>1.627</v>
      </c>
      <c r="E48" s="30" t="s">
        <v>84</v>
      </c>
      <c r="F48" s="47"/>
    </row>
    <row r="49" ht="89.25" outlineLevel="1">
      <c r="A49" s="29">
        <f t="shared" si="51"/>
        <v>32</v>
      </c>
      <c r="B49" s="30" t="s">
        <v>85</v>
      </c>
      <c r="C49" s="29" t="s">
        <v>70</v>
      </c>
      <c r="D49" s="36">
        <f>D48</f>
        <v>1.627</v>
      </c>
      <c r="E49" s="30" t="str">
        <f>E48</f>
        <v xml:space="preserve">Скользящие опоры ТС-624.000-057 10шт*0,069тн/2
Заглушки ТС-596.000-13
Ду=800мм - 0,249тн*4шт
Опора неподвижная ТС-664.00-04
НО Ду 800 - 4 шт *0,1428тн/2</v>
      </c>
      <c r="F49" s="47"/>
    </row>
    <row r="50" ht="89.25" outlineLevel="1">
      <c r="A50" s="29">
        <f t="shared" si="51"/>
        <v>33</v>
      </c>
      <c r="B50" s="30" t="s">
        <v>86</v>
      </c>
      <c r="C50" s="29" t="s">
        <v>70</v>
      </c>
      <c r="D50" s="36">
        <f>ROUND((4*0.231)+(2*0.003)+(2*(0.0083/2)),3)</f>
        <v>0.93800000000000006</v>
      </c>
      <c r="E50" s="30" t="s">
        <v>87</v>
      </c>
      <c r="F50" s="47"/>
    </row>
    <row r="51" ht="89.25" outlineLevel="1">
      <c r="A51" s="29">
        <f t="shared" si="51"/>
        <v>34</v>
      </c>
      <c r="B51" s="30" t="s">
        <v>88</v>
      </c>
      <c r="C51" s="29" t="s">
        <v>70</v>
      </c>
      <c r="D51" s="36">
        <f>D50</f>
        <v>0.93800000000000006</v>
      </c>
      <c r="E51" s="30" t="str">
        <f>E50</f>
        <v xml:space="preserve">Отводы 90гр.
Дн=820х6мм - 4шт*0,231тн
Дн=108х5мм - 2шт*0,003тн
Краны
Ду100 - 2шт*0,0083/2=83 кг</v>
      </c>
      <c r="F51" s="47"/>
    </row>
    <row r="52" ht="178.5" outlineLevel="1">
      <c r="A52" s="29">
        <f t="shared" si="51"/>
        <v>35</v>
      </c>
      <c r="B52" s="30" t="s">
        <v>89</v>
      </c>
      <c r="C52" s="29" t="s">
        <v>70</v>
      </c>
      <c r="D52" s="36">
        <f>D48+D50</f>
        <v>2.5649999999999999</v>
      </c>
      <c r="E52" s="30" t="s">
        <v>90</v>
      </c>
      <c r="F52" s="37"/>
    </row>
    <row r="53" ht="140.25" outlineLevel="1">
      <c r="A53" s="29">
        <f t="shared" si="51"/>
        <v>36</v>
      </c>
      <c r="B53" s="30" t="s">
        <v>91</v>
      </c>
      <c r="C53" s="29" t="s">
        <v>70</v>
      </c>
      <c r="D53" s="36">
        <f>ROUND((4*0.863)+(2*0.0777)+(2*0.335)+(4*0.1566)+1.114,3)</f>
        <v>6.0179999999999998</v>
      </c>
      <c r="E53" s="30" t="s">
        <v>92</v>
      </c>
      <c r="F53" s="37"/>
    </row>
    <row r="54" ht="140.25" outlineLevel="1">
      <c r="A54" s="29">
        <f t="shared" si="51"/>
        <v>37</v>
      </c>
      <c r="B54" s="30" t="s">
        <v>93</v>
      </c>
      <c r="C54" s="29" t="s">
        <v>70</v>
      </c>
      <c r="D54" s="36">
        <f>D53</f>
        <v>6.0179999999999998</v>
      </c>
      <c r="E54" s="30" t="s">
        <v>94</v>
      </c>
      <c r="F54" s="37"/>
    </row>
    <row r="55" ht="51" outlineLevel="1">
      <c r="A55" s="29">
        <f t="shared" si="51"/>
        <v>38</v>
      </c>
      <c r="B55" s="30" t="s">
        <v>95</v>
      </c>
      <c r="C55" s="29" t="s">
        <v>70</v>
      </c>
      <c r="D55" s="36">
        <f>ROUND((75.95*0.301)+(12*0.0777),3)</f>
        <v>23.792999999999999</v>
      </c>
      <c r="E55" s="30" t="s">
        <v>96</v>
      </c>
      <c r="F55" s="47"/>
    </row>
    <row r="56" ht="63.75" outlineLevel="1">
      <c r="A56" s="29">
        <f t="shared" si="51"/>
        <v>39</v>
      </c>
      <c r="B56" s="30" t="s">
        <v>97</v>
      </c>
      <c r="C56" s="29" t="s">
        <v>70</v>
      </c>
      <c r="D56" s="36">
        <f>D55</f>
        <v>23.792999999999999</v>
      </c>
      <c r="E56" s="30" t="str">
        <f>E55</f>
        <v xml:space="preserve">Трубопроводы
Дн=1020х12мм - 0,301тн*75,95м
Дн=325х10мм - 0,0777тн*12м</v>
      </c>
      <c r="F56" s="47"/>
    </row>
    <row r="57" ht="63.75" outlineLevel="1">
      <c r="A57" s="29">
        <f t="shared" si="51"/>
        <v>40</v>
      </c>
      <c r="B57" s="30" t="s">
        <v>98</v>
      </c>
      <c r="C57" s="29" t="s">
        <v>70</v>
      </c>
      <c r="D57" s="31">
        <f>ROUND((4.725*1)+(2.38*1)+(22*2.48)+(22*3.75)+(10*0.65),3)</f>
        <v>150.66499999999999</v>
      </c>
      <c r="E57" s="30" t="s">
        <v>99</v>
      </c>
      <c r="F57" s="47"/>
      <c r="G57" s="37"/>
      <c r="H57" s="47"/>
      <c r="I57" s="47"/>
      <c r="J57" s="47"/>
    </row>
    <row r="58" ht="63.75" outlineLevel="1">
      <c r="A58" s="29">
        <f t="shared" si="51"/>
        <v>41</v>
      </c>
      <c r="B58" s="30" t="s">
        <v>100</v>
      </c>
      <c r="C58" s="29" t="s">
        <v>70</v>
      </c>
      <c r="D58" s="31">
        <f>D57</f>
        <v>150.66499999999999</v>
      </c>
      <c r="E58" s="30" t="str">
        <f>E57</f>
        <v xml:space="preserve">Плиты ПТ 63.15-8 ЛК - 1шт (4,725тн; 1,89м3)
Плиты ПТ 63.07 - 1шт (2,38тн; 0,95м3)
Лотки Л15-11 - 24шт (2,48тн; 0,99м3)
Лотки Л17-11 - 24шт (3,75тн; 1,5м3)
опорные подушки ОП-8 - 10шт (0,65тн; 0,26м3)</v>
      </c>
      <c r="F58" s="47"/>
      <c r="G58" s="37"/>
      <c r="H58" s="47"/>
      <c r="I58" s="47"/>
      <c r="J58" s="47"/>
    </row>
    <row r="59">
      <c r="A59" s="28" t="s">
        <v>101</v>
      </c>
      <c r="B59" s="28"/>
      <c r="C59" s="28"/>
      <c r="D59" s="28"/>
      <c r="E59" s="28"/>
    </row>
    <row r="60" ht="25.5" outlineLevel="1">
      <c r="A60" s="29">
        <f>A58+1</f>
        <v>42</v>
      </c>
      <c r="B60" s="30" t="s">
        <v>102</v>
      </c>
      <c r="C60" s="29" t="s">
        <v>103</v>
      </c>
      <c r="D60" s="44">
        <f>ROUND(((3.68+0.2)*0.1*26),1)</f>
        <v>10.100000000000001</v>
      </c>
      <c r="E60" s="30" t="s">
        <v>204</v>
      </c>
      <c r="F60" s="42"/>
    </row>
    <row r="61" ht="51" outlineLevel="1">
      <c r="A61" s="29">
        <f t="shared" ref="A61:A64" si="52">A60+1</f>
        <v>43</v>
      </c>
      <c r="B61" s="30" t="s">
        <v>105</v>
      </c>
      <c r="C61" s="29" t="s">
        <v>106</v>
      </c>
      <c r="D61" s="44">
        <f>ROUND((0.99*22)+(1.5*22)+(0.26*10),1)</f>
        <v>57.400000000000006</v>
      </c>
      <c r="E61" s="30" t="s">
        <v>205</v>
      </c>
      <c r="F61" s="42"/>
    </row>
    <row r="62" ht="25.5" outlineLevel="1">
      <c r="A62" s="29">
        <f t="shared" si="52"/>
        <v>44</v>
      </c>
      <c r="B62" s="30" t="s">
        <v>108</v>
      </c>
      <c r="C62" s="29" t="s">
        <v>19</v>
      </c>
      <c r="D62" s="29">
        <f>ROUND((((1.6*2)+(0.6*4)+(2.05*2)+2.96)*22)*0.002,2)</f>
        <v>0.56000000000000005</v>
      </c>
      <c r="E62" s="30" t="s">
        <v>206</v>
      </c>
      <c r="F62" s="42"/>
    </row>
    <row r="63" ht="25.5" outlineLevel="1">
      <c r="A63" s="29">
        <f t="shared" si="52"/>
        <v>45</v>
      </c>
      <c r="B63" s="30" t="s">
        <v>109</v>
      </c>
      <c r="C63" s="29" t="s">
        <v>110</v>
      </c>
      <c r="D63" s="36">
        <f>ROUND(88*0.0029,3)</f>
        <v>0.255</v>
      </c>
      <c r="E63" s="30" t="s">
        <v>207</v>
      </c>
      <c r="F63" s="42"/>
    </row>
    <row r="64" ht="25.5" outlineLevel="1">
      <c r="A64" s="29">
        <f t="shared" si="52"/>
        <v>46</v>
      </c>
      <c r="B64" s="30" t="s">
        <v>111</v>
      </c>
      <c r="C64" s="29" t="s">
        <v>112</v>
      </c>
      <c r="D64" s="31">
        <f>((2.96*3)+(2.05*4)+(1.84*4))*0.25*22</f>
        <v>134.41999999999999</v>
      </c>
      <c r="E64" s="30" t="s">
        <v>208</v>
      </c>
      <c r="F64" s="35"/>
    </row>
    <row r="65">
      <c r="A65" s="28" t="s">
        <v>16</v>
      </c>
      <c r="B65" s="28"/>
      <c r="C65" s="28"/>
      <c r="D65" s="28"/>
      <c r="E65" s="28"/>
    </row>
    <row r="66" ht="24">
      <c r="A66" s="29">
        <f>A64+1</f>
        <v>47</v>
      </c>
      <c r="B66" s="30" t="s">
        <v>113</v>
      </c>
      <c r="C66" s="29" t="s">
        <v>19</v>
      </c>
      <c r="D66" s="44">
        <f>ROUND(7.4*8.6*0.15,2)</f>
        <v>9.5500000000000007</v>
      </c>
      <c r="E66" s="30" t="s">
        <v>209</v>
      </c>
    </row>
    <row r="67" ht="24">
      <c r="A67" s="29">
        <f t="shared" ref="A67:A71" si="53">A66+1</f>
        <v>48</v>
      </c>
      <c r="B67" s="30" t="s">
        <v>114</v>
      </c>
      <c r="C67" s="29" t="s">
        <v>19</v>
      </c>
      <c r="D67" s="44">
        <f>ROUND(7.4*8.6*0.1,2)</f>
        <v>6.3600000000000003</v>
      </c>
      <c r="E67" s="30" t="s">
        <v>210</v>
      </c>
    </row>
    <row r="68" ht="180">
      <c r="A68" s="29">
        <f t="shared" si="53"/>
        <v>49</v>
      </c>
      <c r="B68" s="30" t="s">
        <v>115</v>
      </c>
      <c r="C68" s="29" t="s">
        <v>19</v>
      </c>
      <c r="D68" s="29">
        <f>161.21+1.89+0.95</f>
        <v>164.04999999999998</v>
      </c>
      <c r="E68" s="30" t="s">
        <v>116</v>
      </c>
      <c r="I68" s="49"/>
    </row>
    <row r="69" ht="60">
      <c r="A69" s="29">
        <f t="shared" si="53"/>
        <v>50</v>
      </c>
      <c r="B69" s="30" t="s">
        <v>117</v>
      </c>
      <c r="C69" s="29" t="s">
        <v>31</v>
      </c>
      <c r="D69" s="44">
        <v>0.11</v>
      </c>
      <c r="E69" s="30" t="s">
        <v>118</v>
      </c>
      <c r="I69" s="49"/>
    </row>
    <row r="70" ht="60">
      <c r="A70" s="29">
        <f t="shared" si="53"/>
        <v>51</v>
      </c>
      <c r="B70" s="30" t="s">
        <v>119</v>
      </c>
      <c r="C70" s="29" t="s">
        <v>31</v>
      </c>
      <c r="D70" s="44">
        <f>D69</f>
        <v>0.11</v>
      </c>
      <c r="E70" s="30" t="str">
        <f>E69</f>
        <v xml:space="preserve">Сталь угловая: 75х75х6 мм - 0,042тн*2шт; Горячекатаная арматурная сталь гладкая класса А-I, диаметром: 18 мм - 0,011тн*2шт; Сталь листовая углеродистая обыкновенного качества марки ВСт3пс5 толщиной: 6 мм - 0,001тн*2шт
Вес наплавленного металла - 0,001тн*2шт</v>
      </c>
      <c r="I70" s="49"/>
    </row>
    <row r="71" ht="24">
      <c r="A71" s="29">
        <f t="shared" si="53"/>
        <v>52</v>
      </c>
      <c r="B71" s="30" t="s">
        <v>120</v>
      </c>
      <c r="C71" s="29" t="s">
        <v>29</v>
      </c>
      <c r="D71" s="29">
        <f>2.7675*2</f>
        <v>5.5350000000000001</v>
      </c>
      <c r="E71" s="30"/>
    </row>
    <row r="72">
      <c r="A72" s="28" t="s">
        <v>17</v>
      </c>
      <c r="B72" s="28"/>
      <c r="C72" s="28"/>
      <c r="D72" s="28"/>
      <c r="E72" s="28"/>
    </row>
    <row r="73" ht="24">
      <c r="A73" s="50">
        <f>A71+1</f>
        <v>53</v>
      </c>
      <c r="B73" s="30" t="s">
        <v>113</v>
      </c>
      <c r="C73" s="29" t="s">
        <v>19</v>
      </c>
      <c r="D73" s="51">
        <f>6*6*0.15</f>
        <v>5.3999999999999995</v>
      </c>
      <c r="E73" s="40" t="s">
        <v>211</v>
      </c>
    </row>
    <row r="74" ht="24">
      <c r="A74" s="50">
        <f t="shared" ref="A74:A78" si="54">A73+1</f>
        <v>54</v>
      </c>
      <c r="B74" s="30" t="s">
        <v>114</v>
      </c>
      <c r="C74" s="29" t="s">
        <v>19</v>
      </c>
      <c r="D74" s="51">
        <f>6*6*0.1</f>
        <v>3.6000000000000001</v>
      </c>
      <c r="E74" s="40" t="s">
        <v>212</v>
      </c>
    </row>
    <row r="75" ht="144">
      <c r="A75" s="50">
        <f t="shared" si="54"/>
        <v>55</v>
      </c>
      <c r="B75" s="30" t="s">
        <v>115</v>
      </c>
      <c r="C75" s="29" t="s">
        <v>19</v>
      </c>
      <c r="D75" s="51">
        <f>((5.8*5.8*0.4)+((3.3*5.8*0.4)-(1.3*1.3*0.4))+(5.8*3.3*0.4*3)-(0.2*0.2*0.4))+0.57*2+0.96*2+0.77*2+0.65</f>
        <v>48.637999999999998</v>
      </c>
      <c r="E75" s="40" t="s">
        <v>121</v>
      </c>
    </row>
    <row r="76" ht="60">
      <c r="A76" s="29">
        <f t="shared" si="54"/>
        <v>56</v>
      </c>
      <c r="B76" s="30" t="s">
        <v>117</v>
      </c>
      <c r="C76" s="29" t="s">
        <v>31</v>
      </c>
      <c r="D76" s="44">
        <v>0.22</v>
      </c>
      <c r="E76" s="30" t="s">
        <v>122</v>
      </c>
    </row>
    <row r="77" ht="60">
      <c r="A77" s="29">
        <f t="shared" si="54"/>
        <v>57</v>
      </c>
      <c r="B77" s="30" t="s">
        <v>119</v>
      </c>
      <c r="C77" s="29" t="s">
        <v>31</v>
      </c>
      <c r="D77" s="44">
        <f>D76</f>
        <v>0.22</v>
      </c>
      <c r="E77" s="30" t="str">
        <f>E76</f>
        <v xml:space="preserve">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</v>
      </c>
    </row>
    <row r="78" ht="24">
      <c r="A78" s="29">
        <f t="shared" si="54"/>
        <v>58</v>
      </c>
      <c r="B78" s="30" t="s">
        <v>120</v>
      </c>
      <c r="C78" s="29" t="s">
        <v>29</v>
      </c>
      <c r="D78" s="29">
        <f>2.7675*4</f>
        <v>11.07</v>
      </c>
      <c r="E78" s="30"/>
    </row>
    <row r="79">
      <c r="A79" s="28" t="s">
        <v>123</v>
      </c>
      <c r="B79" s="28"/>
      <c r="C79" s="28"/>
      <c r="D79" s="28"/>
      <c r="E79" s="28"/>
    </row>
    <row r="80" ht="180" outlineLevel="1">
      <c r="A80" s="38">
        <f>A78+1</f>
        <v>59</v>
      </c>
      <c r="B80" s="30" t="s">
        <v>124</v>
      </c>
      <c r="C80" s="29" t="s">
        <v>57</v>
      </c>
      <c r="D80" s="31">
        <f>ROUND(75.95+(4*2.12)+(4*0.457),1)</f>
        <v>86.300000000000011</v>
      </c>
      <c r="E80" s="30" t="s">
        <v>125</v>
      </c>
    </row>
    <row r="81" ht="36" outlineLevel="1">
      <c r="A81" s="38">
        <f t="shared" ref="A81:A85" si="55">A80+1</f>
        <v>60</v>
      </c>
      <c r="B81" s="30" t="s">
        <v>126</v>
      </c>
      <c r="C81" s="29" t="s">
        <v>110</v>
      </c>
      <c r="D81" s="36">
        <f>10*0.069+0.2622*8</f>
        <v>2.7875999999999999</v>
      </c>
      <c r="E81" s="30" t="s">
        <v>213</v>
      </c>
    </row>
    <row r="82" ht="24" outlineLevel="1">
      <c r="A82" s="38">
        <f t="shared" si="55"/>
        <v>61</v>
      </c>
      <c r="B82" s="30" t="s">
        <v>128</v>
      </c>
      <c r="C82" s="29" t="s">
        <v>129</v>
      </c>
      <c r="D82" s="36">
        <f>ROUND(4*0.249,3)</f>
        <v>0.996</v>
      </c>
      <c r="E82" s="30" t="s">
        <v>130</v>
      </c>
    </row>
    <row r="83" ht="72" outlineLevel="1">
      <c r="A83" s="38">
        <f t="shared" si="55"/>
        <v>62</v>
      </c>
      <c r="B83" s="30" t="s">
        <v>131</v>
      </c>
      <c r="C83" s="29" t="s">
        <v>57</v>
      </c>
      <c r="D83" s="113">
        <f>ROUND(12+2*0.707,1)</f>
        <v>13.4</v>
      </c>
      <c r="E83" s="40" t="s">
        <v>132</v>
      </c>
    </row>
    <row r="84" ht="24" outlineLevel="1">
      <c r="A84" s="38">
        <f t="shared" si="55"/>
        <v>63</v>
      </c>
      <c r="B84" s="30" t="s">
        <v>133</v>
      </c>
      <c r="C84" s="29" t="s">
        <v>49</v>
      </c>
      <c r="D84" s="113">
        <v>2</v>
      </c>
      <c r="E84" s="40" t="s">
        <v>134</v>
      </c>
    </row>
    <row r="85" ht="24" outlineLevel="1">
      <c r="A85" s="38">
        <f t="shared" si="55"/>
        <v>64</v>
      </c>
      <c r="B85" s="30" t="s">
        <v>135</v>
      </c>
      <c r="C85" s="29" t="s">
        <v>57</v>
      </c>
      <c r="D85" s="113">
        <v>10</v>
      </c>
      <c r="E85" s="40" t="s">
        <v>136</v>
      </c>
    </row>
    <row r="86">
      <c r="A86" s="28" t="s">
        <v>137</v>
      </c>
      <c r="B86" s="28"/>
      <c r="C86" s="28"/>
      <c r="D86" s="28"/>
      <c r="E86" s="28"/>
    </row>
    <row r="87" ht="36" outlineLevel="1">
      <c r="A87" s="38">
        <f>A85+1</f>
        <v>65</v>
      </c>
      <c r="B87" s="30" t="s">
        <v>138</v>
      </c>
      <c r="C87" s="29" t="s">
        <v>139</v>
      </c>
      <c r="D87" s="29">
        <v>16</v>
      </c>
      <c r="E87" s="30"/>
    </row>
    <row r="88" ht="36" outlineLevel="1">
      <c r="A88" s="38">
        <f t="shared" ref="A88:A89" si="56">A87+1</f>
        <v>66</v>
      </c>
      <c r="B88" s="30" t="s">
        <v>140</v>
      </c>
      <c r="C88" s="29" t="s">
        <v>139</v>
      </c>
      <c r="D88" s="29">
        <v>12</v>
      </c>
      <c r="E88" s="30"/>
    </row>
    <row r="89" ht="24" outlineLevel="1">
      <c r="A89" s="38">
        <f t="shared" si="56"/>
        <v>67</v>
      </c>
      <c r="B89" s="30" t="s">
        <v>141</v>
      </c>
      <c r="C89" s="29" t="s">
        <v>49</v>
      </c>
      <c r="D89" s="29">
        <v>4</v>
      </c>
      <c r="E89" s="30"/>
    </row>
    <row r="90">
      <c r="A90" s="28" t="s">
        <v>142</v>
      </c>
      <c r="B90" s="28"/>
      <c r="C90" s="28"/>
      <c r="D90" s="28"/>
      <c r="E90" s="28"/>
    </row>
    <row r="91">
      <c r="A91" s="28" t="s">
        <v>143</v>
      </c>
      <c r="B91" s="28"/>
      <c r="C91" s="28"/>
      <c r="D91" s="28"/>
      <c r="E91" s="28"/>
      <c r="F91" s="42"/>
    </row>
    <row r="92" ht="36" outlineLevel="1">
      <c r="A92" s="38">
        <f>A89+1</f>
        <v>68</v>
      </c>
      <c r="B92" s="30" t="s">
        <v>144</v>
      </c>
      <c r="C92" s="29" t="s">
        <v>145</v>
      </c>
      <c r="D92" s="44">
        <f>ROUND(1.02*PI()*0.2*D87,2)</f>
        <v>10.25</v>
      </c>
      <c r="E92" s="30"/>
      <c r="F92" s="35"/>
    </row>
    <row r="93" ht="96" outlineLevel="1">
      <c r="A93" s="38">
        <f t="shared" ref="A93:A98" si="57">A92+1</f>
        <v>69</v>
      </c>
      <c r="B93" s="30" t="s">
        <v>146</v>
      </c>
      <c r="C93" s="29" t="s">
        <v>147</v>
      </c>
      <c r="D93" s="31">
        <f>ROUND(1.02*PI()*(D80),1)</f>
        <v>276.5</v>
      </c>
      <c r="E93" s="30"/>
      <c r="F93" s="35"/>
    </row>
    <row r="94" ht="120" outlineLevel="1">
      <c r="A94" s="38">
        <f t="shared" si="57"/>
        <v>70</v>
      </c>
      <c r="B94" s="30" t="s">
        <v>148</v>
      </c>
      <c r="C94" s="29" t="s">
        <v>149</v>
      </c>
      <c r="D94" s="31">
        <f>ROUND((1.02+(0.1/1))*(0.1/1)*(D80)*PI(),1)</f>
        <v>30.400000000000002</v>
      </c>
      <c r="E94" s="30"/>
      <c r="F94" s="61">
        <f>(3.14*0.61*0.61*86.3)-(3.14*0.51*0.51*86.3)</f>
        <v>30.349983999999992</v>
      </c>
      <c r="G94" s="32"/>
      <c r="H94" s="32"/>
      <c r="I94" s="32"/>
      <c r="J94" s="32"/>
    </row>
    <row r="95" ht="60" outlineLevel="1">
      <c r="A95" s="38">
        <f t="shared" si="57"/>
        <v>71</v>
      </c>
      <c r="B95" s="30" t="s">
        <v>150</v>
      </c>
      <c r="C95" s="29" t="s">
        <v>151</v>
      </c>
      <c r="D95" s="31">
        <f>ROUND((1.02+(0.2/1))*PI()*(D80),1)</f>
        <v>330.80000000000001</v>
      </c>
      <c r="E95" s="30"/>
      <c r="F95" s="55"/>
      <c r="G95" s="55"/>
      <c r="H95" s="55"/>
      <c r="I95" s="55"/>
      <c r="J95" s="55"/>
    </row>
    <row r="96" ht="60" outlineLevel="1">
      <c r="A96" s="56">
        <f t="shared" si="57"/>
        <v>72</v>
      </c>
      <c r="B96" s="57" t="s">
        <v>152</v>
      </c>
      <c r="C96" s="58" t="str">
        <f>C95</f>
        <v xml:space="preserve">м2 поверхности покрытия изоляции</v>
      </c>
      <c r="D96" s="31">
        <f>ROUND((1.02+(0.2/1))*PI()*(D80),1)</f>
        <v>330.80000000000001</v>
      </c>
      <c r="E96" s="30"/>
      <c r="F96" s="55"/>
      <c r="G96" s="55"/>
      <c r="H96" s="55"/>
      <c r="I96" s="55"/>
      <c r="J96" s="55"/>
    </row>
    <row r="97" ht="84" outlineLevel="1">
      <c r="A97" s="38">
        <f t="shared" si="57"/>
        <v>73</v>
      </c>
      <c r="B97" s="30" t="s">
        <v>153</v>
      </c>
      <c r="C97" s="29" t="s">
        <v>31</v>
      </c>
      <c r="D97" s="36">
        <f>((((1.02+(0.2/1))*PI())+0.1)*((D80)*4+6*2))*0.02*6.2/1000</f>
        <v>0.17419220080604486</v>
      </c>
      <c r="E97" s="30"/>
      <c r="F97" s="55"/>
      <c r="G97" s="55"/>
      <c r="H97" s="55"/>
      <c r="I97" s="55"/>
      <c r="J97" s="55"/>
    </row>
    <row r="98" ht="24" outlineLevel="1">
      <c r="A98" s="38">
        <f t="shared" si="57"/>
        <v>74</v>
      </c>
      <c r="B98" s="30" t="s">
        <v>154</v>
      </c>
      <c r="C98" s="29" t="s">
        <v>31</v>
      </c>
      <c r="D98" s="36">
        <f>(((1.02+(0.02/1))*PI())+0.1)*(D80)*7*0.0312/1000</f>
        <v>0.063465778487746066</v>
      </c>
      <c r="E98" s="30"/>
      <c r="F98" s="55"/>
      <c r="G98" s="55"/>
      <c r="H98" s="55"/>
      <c r="I98" s="55"/>
      <c r="J98" s="55"/>
    </row>
    <row r="99">
      <c r="A99" s="28" t="s">
        <v>155</v>
      </c>
      <c r="B99" s="28"/>
      <c r="C99" s="28"/>
      <c r="D99" s="28"/>
      <c r="E99" s="28"/>
    </row>
    <row r="100">
      <c r="A100" s="28" t="s">
        <v>156</v>
      </c>
      <c r="B100" s="28"/>
      <c r="C100" s="28"/>
      <c r="D100" s="28"/>
      <c r="E100" s="28"/>
      <c r="F100" s="35"/>
    </row>
    <row r="101" ht="36" outlineLevel="1">
      <c r="A101" s="38">
        <f>A98+1</f>
        <v>75</v>
      </c>
      <c r="B101" s="30" t="s">
        <v>157</v>
      </c>
      <c r="C101" s="29" t="s">
        <v>158</v>
      </c>
      <c r="D101" s="126">
        <f>((H101-I101)+L14+M14)-((6*2*0.14)*H112)-(D110*0.37)</f>
        <v>1005.638815</v>
      </c>
      <c r="E101" s="127"/>
      <c r="F101" s="32"/>
      <c r="G101" s="60"/>
      <c r="H101" s="60">
        <f>(((((4.7+7.3)/2)*2.6)*26-(1.48*2*1.4*26))*0.97)</f>
        <v>288.92032</v>
      </c>
      <c r="I101" s="60">
        <f>(((((4.7+7.3)/2)*2.6)*26-(1.84*2*2.05*26))*0.97)</f>
        <v>203.17232000000004</v>
      </c>
      <c r="J101" s="60"/>
    </row>
    <row r="102" ht="24" outlineLevel="1">
      <c r="A102" s="38">
        <f t="shared" ref="A102:A104" si="58">A101+1</f>
        <v>76</v>
      </c>
      <c r="B102" s="30" t="s">
        <v>159</v>
      </c>
      <c r="C102" s="29" t="s">
        <v>158</v>
      </c>
      <c r="D102" s="126">
        <f>ROUND(D101*0.03/0.97,1)</f>
        <v>31.100000000000001</v>
      </c>
      <c r="E102" s="127"/>
      <c r="F102" s="35"/>
    </row>
    <row r="103" outlineLevel="1">
      <c r="A103" s="38">
        <f t="shared" si="58"/>
        <v>77</v>
      </c>
      <c r="B103" s="30" t="s">
        <v>160</v>
      </c>
      <c r="C103" s="29" t="s">
        <v>19</v>
      </c>
      <c r="D103" s="126">
        <f>D101</f>
        <v>1005.638815</v>
      </c>
      <c r="E103" s="127"/>
      <c r="F103" s="35"/>
    </row>
    <row r="104" ht="36" outlineLevel="1">
      <c r="A104" s="38">
        <f t="shared" si="58"/>
        <v>78</v>
      </c>
      <c r="B104" s="30" t="s">
        <v>161</v>
      </c>
      <c r="C104" s="29" t="s">
        <v>19</v>
      </c>
      <c r="D104" s="126">
        <f>D101</f>
        <v>1005.638815</v>
      </c>
      <c r="E104" s="127"/>
    </row>
    <row r="105" outlineLevel="1">
      <c r="A105" s="28" t="s">
        <v>218</v>
      </c>
      <c r="B105" s="28"/>
      <c r="C105" s="28"/>
      <c r="D105" s="28"/>
      <c r="E105" s="28"/>
    </row>
    <row r="106" ht="72" outlineLevel="1">
      <c r="A106" s="38">
        <f>A103+1</f>
        <v>78</v>
      </c>
      <c r="B106" s="128" t="s">
        <v>219</v>
      </c>
      <c r="C106" s="129" t="s">
        <v>166</v>
      </c>
      <c r="D106" s="126">
        <v>110</v>
      </c>
      <c r="E106" s="127"/>
    </row>
    <row r="107" ht="36" outlineLevel="1">
      <c r="A107" s="38">
        <f>A106+1</f>
        <v>79</v>
      </c>
      <c r="B107" s="130" t="s">
        <v>220</v>
      </c>
      <c r="C107" s="58" t="s">
        <v>70</v>
      </c>
      <c r="D107" s="131">
        <f>D106*0.05*2.3</f>
        <v>12.649999999999999</v>
      </c>
      <c r="E107" s="127"/>
    </row>
    <row r="108">
      <c r="A108" s="28" t="s">
        <v>162</v>
      </c>
      <c r="B108" s="132"/>
      <c r="C108" s="132"/>
      <c r="D108" s="28"/>
      <c r="E108" s="28"/>
      <c r="F108" s="42"/>
    </row>
    <row r="109" ht="36" outlineLevel="1">
      <c r="A109" s="38">
        <f>A107+1</f>
        <v>80</v>
      </c>
      <c r="B109" s="30" t="s">
        <v>163</v>
      </c>
      <c r="C109" s="29" t="s">
        <v>164</v>
      </c>
      <c r="D109" s="133">
        <f>D110*0.25</f>
        <v>75</v>
      </c>
      <c r="E109" s="127" t="s">
        <v>214</v>
      </c>
      <c r="F109" s="42"/>
    </row>
    <row r="110" ht="84" outlineLevel="1">
      <c r="A110" s="38">
        <f t="shared" ref="A110:A117" si="59">A109+1</f>
        <v>81</v>
      </c>
      <c r="B110" s="30" t="s">
        <v>165</v>
      </c>
      <c r="C110" s="29" t="s">
        <v>166</v>
      </c>
      <c r="D110" s="126">
        <f>265+35</f>
        <v>300</v>
      </c>
      <c r="E110" s="127" t="s">
        <v>167</v>
      </c>
      <c r="F110" s="61"/>
      <c r="G110" s="62"/>
      <c r="H110" s="62"/>
      <c r="I110" s="62"/>
      <c r="J110" s="62"/>
    </row>
    <row r="111" ht="84" outlineLevel="1">
      <c r="A111" s="29">
        <f t="shared" si="59"/>
        <v>82</v>
      </c>
      <c r="B111" s="30" t="s">
        <v>168</v>
      </c>
      <c r="C111" s="29" t="s">
        <v>166</v>
      </c>
      <c r="D111" s="126">
        <f>D110+D106</f>
        <v>410</v>
      </c>
      <c r="E111" s="127" t="s">
        <v>169</v>
      </c>
      <c r="F111" s="61"/>
      <c r="G111" s="62"/>
      <c r="H111" s="62"/>
      <c r="I111" s="62"/>
      <c r="J111" s="62"/>
    </row>
    <row r="112" ht="24" outlineLevel="1">
      <c r="A112" s="29">
        <f t="shared" si="59"/>
        <v>83</v>
      </c>
      <c r="B112" s="30" t="s">
        <v>170</v>
      </c>
      <c r="C112" s="29" t="s">
        <v>49</v>
      </c>
      <c r="D112" s="126">
        <v>29</v>
      </c>
      <c r="E112" s="127" t="s">
        <v>221</v>
      </c>
      <c r="F112" s="61">
        <f>1.68*D112</f>
        <v>48.719999999999999</v>
      </c>
      <c r="G112" s="62">
        <f>D112*4.2</f>
        <v>121.80000000000001</v>
      </c>
      <c r="H112" s="62">
        <v>13</v>
      </c>
      <c r="I112" s="62" t="s">
        <v>222</v>
      </c>
      <c r="J112" s="62"/>
    </row>
    <row r="113" ht="24" outlineLevel="1">
      <c r="A113" s="29">
        <f t="shared" si="59"/>
        <v>84</v>
      </c>
      <c r="B113" s="30" t="s">
        <v>172</v>
      </c>
      <c r="C113" s="29" t="s">
        <v>49</v>
      </c>
      <c r="D113" s="126">
        <f>D112</f>
        <v>29</v>
      </c>
      <c r="E113" s="127" t="str">
        <f>E112</f>
        <v xml:space="preserve">Плита дорожная ПДН - 4,20тн; 1,68м3 (на 1 ед.) 48,72м3, 121,8тн
Сталь арматурная Ø12мм-АIII по ГОСТ 5781-82 - 0,14тн (на 1 ед.)</v>
      </c>
      <c r="F113" s="61"/>
      <c r="G113" s="62"/>
      <c r="H113" s="62"/>
      <c r="I113" s="62"/>
      <c r="J113" s="62"/>
    </row>
    <row r="114" outlineLevel="1">
      <c r="A114" s="29">
        <f t="shared" si="59"/>
        <v>85</v>
      </c>
      <c r="B114" s="30" t="s">
        <v>173</v>
      </c>
      <c r="C114" s="29" t="s">
        <v>31</v>
      </c>
      <c r="D114" s="36">
        <v>0.44800000000000001</v>
      </c>
      <c r="E114" s="30" t="s">
        <v>174</v>
      </c>
      <c r="F114" s="61"/>
      <c r="G114" s="62"/>
      <c r="H114" s="62"/>
      <c r="I114" s="62"/>
      <c r="J114" s="62"/>
    </row>
    <row r="115" ht="25.5" outlineLevel="1">
      <c r="A115" s="29">
        <f t="shared" si="59"/>
        <v>86</v>
      </c>
      <c r="B115" s="30" t="s">
        <v>175</v>
      </c>
      <c r="C115" s="29" t="s">
        <v>31</v>
      </c>
      <c r="D115" s="36">
        <f>D114</f>
        <v>0.44800000000000001</v>
      </c>
      <c r="E115" s="30" t="str">
        <f>E114</f>
        <v xml:space="preserve">1 секция забора - 0,064тн - 4м (всего 7 секций)</v>
      </c>
      <c r="F115" s="61"/>
      <c r="G115" s="62"/>
      <c r="H115" s="62"/>
      <c r="I115" s="62"/>
      <c r="J115" s="62"/>
    </row>
    <row r="116" outlineLevel="1">
      <c r="A116" s="29">
        <f t="shared" si="59"/>
        <v>87</v>
      </c>
      <c r="B116" s="30" t="s">
        <v>176</v>
      </c>
      <c r="C116" s="29" t="s">
        <v>57</v>
      </c>
      <c r="D116" s="36">
        <v>2.5059999999999998</v>
      </c>
      <c r="E116" s="30"/>
      <c r="F116" s="61"/>
      <c r="G116" s="62"/>
      <c r="H116" s="62"/>
      <c r="I116" s="62"/>
      <c r="J116" s="62"/>
    </row>
    <row r="117" ht="24" outlineLevel="1">
      <c r="A117" s="29">
        <f t="shared" si="59"/>
        <v>88</v>
      </c>
      <c r="B117" s="30" t="s">
        <v>108</v>
      </c>
      <c r="C117" s="29" t="s">
        <v>19</v>
      </c>
      <c r="D117" s="44">
        <v>0.34000000000000002</v>
      </c>
      <c r="E117" s="30"/>
      <c r="F117" s="61"/>
      <c r="G117" s="62"/>
      <c r="H117" s="62"/>
      <c r="I117" s="62"/>
      <c r="J117" s="62"/>
    </row>
    <row r="118">
      <c r="A118" s="28" t="s">
        <v>177</v>
      </c>
      <c r="B118" s="28"/>
      <c r="C118" s="28"/>
      <c r="D118" s="28"/>
      <c r="E118" s="28"/>
    </row>
    <row r="119" ht="36" outlineLevel="1">
      <c r="A119" s="29">
        <f>A117+1</f>
        <v>89</v>
      </c>
      <c r="B119" s="30" t="s">
        <v>178</v>
      </c>
      <c r="C119" s="29" t="s">
        <v>29</v>
      </c>
      <c r="D119" s="134">
        <v>173.75999999999999</v>
      </c>
      <c r="E119" s="127"/>
      <c r="F119" s="46"/>
      <c r="G119" s="55"/>
      <c r="H119" s="55"/>
      <c r="I119" s="55"/>
      <c r="J119" s="55"/>
    </row>
    <row r="120" ht="36" outlineLevel="1">
      <c r="A120" s="29">
        <f>A119+1</f>
        <v>90</v>
      </c>
      <c r="B120" s="30" t="s">
        <v>179</v>
      </c>
      <c r="C120" s="29" t="s">
        <v>29</v>
      </c>
      <c r="D120" s="134">
        <f>D119</f>
        <v>173.75999999999999</v>
      </c>
      <c r="E120" s="127"/>
      <c r="F120" s="55"/>
      <c r="G120" s="55"/>
      <c r="H120" s="55"/>
      <c r="I120" s="55"/>
      <c r="J120" s="55"/>
    </row>
    <row r="122" ht="121.5" customHeight="1">
      <c r="A122" s="15" t="s">
        <v>180</v>
      </c>
      <c r="B122" s="15"/>
      <c r="C122" s="15"/>
      <c r="D122" s="15"/>
      <c r="E122" s="15"/>
    </row>
    <row r="124">
      <c r="A124" s="106" t="s">
        <v>216</v>
      </c>
      <c r="B124" s="106"/>
      <c r="C124" s="106"/>
      <c r="D124" s="17"/>
      <c r="E124" s="124" t="s">
        <v>217</v>
      </c>
    </row>
    <row r="125">
      <c r="A125" s="125"/>
      <c r="B125" s="15"/>
      <c r="C125" s="17"/>
      <c r="D125" s="17"/>
      <c r="E125" s="124"/>
    </row>
    <row r="126" ht="15" customHeight="1">
      <c r="A126" s="66"/>
      <c r="B126" s="66"/>
      <c r="C126" s="66"/>
      <c r="D126" s="67"/>
      <c r="E126" s="66"/>
    </row>
    <row r="127" s="68" customFormat="1" ht="14.25">
      <c r="A127" s="67"/>
      <c r="B127" s="66"/>
      <c r="C127" s="66"/>
      <c r="D127" s="67"/>
      <c r="E127" s="66"/>
      <c r="F127" s="69"/>
      <c r="G127" s="70"/>
    </row>
    <row r="128" s="71" customFormat="1" ht="15" customHeight="1">
      <c r="A128" s="72"/>
      <c r="B128" s="73"/>
      <c r="C128" s="74"/>
      <c r="D128" s="74"/>
      <c r="E128" s="75"/>
      <c r="F128" s="76"/>
      <c r="G128" s="77"/>
    </row>
    <row r="129" s="78" customFormat="1" ht="15">
      <c r="A129" s="79"/>
      <c r="B129" s="79"/>
      <c r="C129" s="80"/>
      <c r="D129" s="81"/>
      <c r="E129" s="82"/>
      <c r="F129" s="83"/>
      <c r="G129" s="84"/>
    </row>
    <row r="130" s="78" customFormat="1" ht="15">
      <c r="A130" s="85"/>
      <c r="B130" s="86"/>
      <c r="C130" s="87"/>
      <c r="D130" s="87"/>
      <c r="E130" s="88"/>
      <c r="F130" s="83"/>
      <c r="G130" s="84"/>
    </row>
    <row r="131" ht="15">
      <c r="A131" s="89"/>
      <c r="B131" s="90"/>
      <c r="C131" s="91"/>
      <c r="D131" s="91"/>
      <c r="E131" s="92"/>
    </row>
    <row r="132">
      <c r="A132" s="93"/>
      <c r="B132" s="94"/>
      <c r="C132" s="94"/>
      <c r="D132" s="93"/>
      <c r="E132" s="95"/>
    </row>
    <row r="133">
      <c r="A133" s="94"/>
      <c r="B133" s="94"/>
      <c r="C133" s="94"/>
      <c r="D133" s="96"/>
      <c r="E133" s="95"/>
    </row>
  </sheetData>
  <mergeCells count="25">
    <mergeCell ref="A2:E2"/>
    <mergeCell ref="A9:E9"/>
    <mergeCell ref="A10:E10"/>
    <mergeCell ref="A13:E13"/>
    <mergeCell ref="A24:E24"/>
    <mergeCell ref="A25:E25"/>
    <mergeCell ref="A29:E29"/>
    <mergeCell ref="A37:E37"/>
    <mergeCell ref="A59:E59"/>
    <mergeCell ref="A65:E65"/>
    <mergeCell ref="A72:E72"/>
    <mergeCell ref="A79:E79"/>
    <mergeCell ref="A86:E86"/>
    <mergeCell ref="A90:E90"/>
    <mergeCell ref="A91:E91"/>
    <mergeCell ref="A99:E99"/>
    <mergeCell ref="A100:E100"/>
    <mergeCell ref="A105:E105"/>
    <mergeCell ref="A108:E108"/>
    <mergeCell ref="A118:E118"/>
    <mergeCell ref="A122:E122"/>
    <mergeCell ref="A124:C124"/>
    <mergeCell ref="A126:C126"/>
    <mergeCell ref="A129:B129"/>
    <mergeCell ref="A133:C133"/>
  </mergeCells>
  <printOptions headings="0" gridLines="0"/>
  <pageMargins left="0.51000000000000023" right="0.39370078740157477" top="0.3600000000000001" bottom="0.46000000000000008" header="0" footer="0.19685039370078738"/>
  <pageSetup paperSize="9" scale="7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&amp;R&amp;"Times New Roman,Regular "Страница 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09" zoomScale="100" workbookViewId="0">
      <selection activeCell="E81" activeCellId="0" sqref="E81"/>
    </sheetView>
  </sheetViews>
  <sheetFormatPr defaultColWidth="9.140625" defaultRowHeight="12.75" outlineLevelRow="1"/>
  <cols>
    <col customWidth="1" min="1" max="1" style="2" width="4.42578125"/>
    <col customWidth="1" min="2" max="2" style="3" width="40.85546875"/>
    <col customWidth="1" min="3" max="3" style="4" width="14.85546875"/>
    <col customWidth="1" min="4" max="4" style="4" width="10.85546875"/>
    <col customWidth="1" min="5" max="5" style="5" width="63.28515625"/>
    <col customWidth="1" hidden="1" min="6" max="6" style="6" width="43.5703125"/>
    <col customWidth="1" hidden="1" min="7" max="7" style="7" width="9.140625"/>
    <col customWidth="1" hidden="1" min="8" max="8" style="1" width="11.140625"/>
    <col customWidth="1" hidden="1" min="9" max="10" style="1" width="10"/>
    <col customWidth="1" hidden="1" min="11" max="12" style="1" width="9.140625"/>
    <col customWidth="1" hidden="1" min="13" max="13" style="1" width="17"/>
    <col customWidth="1" hidden="1" min="14" max="19" style="1" width="9.140625"/>
    <col min="20" max="22" style="1" width="9.140625"/>
    <col customWidth="1" min="23" max="23" style="1" width="9.140625"/>
    <col min="24" max="16384" style="1" width="9.140625"/>
  </cols>
  <sheetData>
    <row r="1">
      <c r="A1" s="99"/>
      <c r="B1" s="100"/>
      <c r="C1" s="99"/>
      <c r="D1" s="101"/>
      <c r="E1" s="1"/>
      <c r="F1" s="49"/>
      <c r="G1" s="12"/>
      <c r="H1" s="13"/>
    </row>
    <row r="2" ht="15">
      <c r="A2" s="102" t="s">
        <v>181</v>
      </c>
      <c r="B2" s="102"/>
      <c r="C2" s="102"/>
      <c r="D2" s="102"/>
      <c r="E2" s="102"/>
      <c r="F2" s="49"/>
      <c r="G2" s="12"/>
      <c r="H2" s="13"/>
    </row>
    <row r="3">
      <c r="A3" s="103"/>
      <c r="B3" s="104"/>
      <c r="C3" s="17"/>
      <c r="D3" s="20"/>
      <c r="E3" s="105"/>
      <c r="F3" s="49"/>
      <c r="G3" s="12"/>
      <c r="H3" s="13"/>
    </row>
    <row r="4" ht="39.75" customHeight="1">
      <c r="A4" s="22" t="s">
        <v>4</v>
      </c>
      <c r="B4" s="21"/>
      <c r="C4" s="21"/>
      <c r="D4" s="21"/>
      <c r="E4" s="21"/>
      <c r="F4" s="6"/>
      <c r="G4" s="12"/>
      <c r="H4" s="13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ht="60" customHeight="1">
      <c r="A5" s="109" t="s">
        <v>192</v>
      </c>
      <c r="B5" s="21"/>
      <c r="C5" s="21"/>
      <c r="D5" s="21"/>
      <c r="E5" s="21"/>
      <c r="F5" s="19"/>
      <c r="G5" s="12"/>
      <c r="H5" s="13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ht="40.5" customHeight="1">
      <c r="A6" s="23" t="s">
        <v>6</v>
      </c>
      <c r="B6" s="24" t="s">
        <v>7</v>
      </c>
      <c r="C6" s="24" t="s">
        <v>8</v>
      </c>
      <c r="D6" s="24" t="s">
        <v>9</v>
      </c>
      <c r="E6" s="25" t="s">
        <v>10</v>
      </c>
      <c r="F6" s="6"/>
      <c r="G6" s="7"/>
      <c r="H6" s="1"/>
      <c r="I6" s="1"/>
      <c r="J6" s="1"/>
      <c r="K6" s="1"/>
      <c r="L6" s="1"/>
      <c r="M6" s="110"/>
      <c r="N6" s="1"/>
      <c r="O6" s="1"/>
      <c r="P6" s="1">
        <v>1</v>
      </c>
      <c r="Q6" s="1"/>
      <c r="R6" s="1">
        <v>1</v>
      </c>
      <c r="S6" s="1">
        <v>1</v>
      </c>
    </row>
    <row r="7">
      <c r="A7" s="26">
        <v>1</v>
      </c>
      <c r="B7" s="27">
        <v>2</v>
      </c>
      <c r="C7" s="27">
        <v>3</v>
      </c>
      <c r="D7" s="27">
        <v>4</v>
      </c>
      <c r="E7" s="25">
        <v>5</v>
      </c>
      <c r="F7" s="6"/>
      <c r="G7" s="7"/>
      <c r="H7" s="1"/>
      <c r="I7" s="1"/>
      <c r="J7" s="1"/>
      <c r="K7" s="1"/>
      <c r="L7" s="1"/>
      <c r="M7" s="1"/>
      <c r="N7" s="1"/>
      <c r="O7" s="1"/>
      <c r="P7" s="1">
        <f>8.3-P6</f>
        <v>7.3000000000000007</v>
      </c>
      <c r="Q7" s="1"/>
      <c r="R7" s="1">
        <f>12.9-R6</f>
        <v>11.9</v>
      </c>
      <c r="S7" s="1">
        <f>7.8-S6</f>
        <v>6.7999999999999998</v>
      </c>
    </row>
    <row r="8">
      <c r="A8" s="28" t="s">
        <v>11</v>
      </c>
      <c r="B8" s="28"/>
      <c r="C8" s="28"/>
      <c r="D8" s="28"/>
      <c r="E8" s="28"/>
      <c r="F8" s="6"/>
      <c r="G8" s="7" t="s">
        <v>12</v>
      </c>
      <c r="H8" s="1" t="s">
        <v>13</v>
      </c>
      <c r="I8" s="1" t="s">
        <v>14</v>
      </c>
      <c r="J8" s="1"/>
      <c r="K8" s="1" t="s">
        <v>15</v>
      </c>
      <c r="L8" s="1" t="s">
        <v>16</v>
      </c>
      <c r="M8" s="1" t="s">
        <v>17</v>
      </c>
      <c r="N8" s="1"/>
      <c r="O8" s="1"/>
      <c r="P8" s="1"/>
      <c r="Q8" s="1"/>
      <c r="R8" s="1"/>
      <c r="S8" s="1"/>
    </row>
    <row r="9" ht="89.25" outlineLevel="1">
      <c r="A9" s="29">
        <v>1</v>
      </c>
      <c r="B9" s="30" t="s">
        <v>18</v>
      </c>
      <c r="C9" s="29" t="s">
        <v>19</v>
      </c>
      <c r="D9" s="44">
        <f>K9+L9+M9</f>
        <v>1341.6511350000001</v>
      </c>
      <c r="E9" s="30" t="s">
        <v>193</v>
      </c>
      <c r="F9" s="32"/>
      <c r="G9" s="33" t="s">
        <v>21</v>
      </c>
      <c r="H9" s="34" t="s">
        <v>22</v>
      </c>
      <c r="I9" s="34" t="s">
        <v>23</v>
      </c>
      <c r="J9" s="1"/>
      <c r="K9" s="112">
        <f>(((((4.7+P7)/2)*2.6)*26-(1.48*2*1.4*26))*0.97)</f>
        <v>288.92032</v>
      </c>
      <c r="L9" s="1">
        <f>((5.25/6*(((2*O10+O11)*P10)+((2*O11+O10)*P11)))-(4.5*3*3))*0.97</f>
        <v>813.21647500000006</v>
      </c>
      <c r="M9" s="1">
        <f>((3.4/6*(((2*R7+S7)*R7)+((2*S7+R7)*S7)))-(5.06*3.8*3))*0.97</f>
        <v>239.51434000000003</v>
      </c>
      <c r="N9" s="1"/>
      <c r="O9" s="1">
        <v>1</v>
      </c>
      <c r="P9" s="1">
        <v>1</v>
      </c>
      <c r="Q9" s="1"/>
      <c r="R9" s="1"/>
      <c r="S9" s="1"/>
    </row>
    <row r="10" ht="38.25" outlineLevel="1">
      <c r="A10" s="29">
        <f t="shared" ref="A10:A18" si="60">A9+1</f>
        <v>2</v>
      </c>
      <c r="B10" s="30" t="s">
        <v>24</v>
      </c>
      <c r="C10" s="29" t="s">
        <v>19</v>
      </c>
      <c r="D10" s="44">
        <f>K10</f>
        <v>8.9356799999999996</v>
      </c>
      <c r="E10" s="30" t="s">
        <v>194</v>
      </c>
      <c r="F10" s="35"/>
      <c r="G10" s="7"/>
      <c r="H10" s="1"/>
      <c r="I10" s="1"/>
      <c r="J10" s="1"/>
      <c r="K10" s="1">
        <f>(((((4.7+P7)/2)*2.6)*26-(1.48*2*1.4*26))*0.03)</f>
        <v>8.9356799999999996</v>
      </c>
      <c r="L10" s="1">
        <f>((5.25/6*(((2*O10+O11)*P10)+((2*O11+O10)*P11)))-(4.5*3*3))*0.03</f>
        <v>25.151025000000001</v>
      </c>
      <c r="M10" s="1">
        <f>((3.4/6*(((2*R7+S7)*R7)+((2*S7+R7)*S7)))-(5.06*3.8*3))*0.03</f>
        <v>7.4076600000000017</v>
      </c>
      <c r="N10" s="1"/>
      <c r="O10" s="1">
        <f>18.3-O9</f>
        <v>17.300000000000001</v>
      </c>
      <c r="P10" s="1">
        <f>17.1-P9</f>
        <v>16.100000000000001</v>
      </c>
      <c r="Q10" s="1"/>
      <c r="R10" s="1"/>
      <c r="S10" s="1"/>
    </row>
    <row r="11" ht="89.25" outlineLevel="1">
      <c r="A11" s="29">
        <f t="shared" si="60"/>
        <v>3</v>
      </c>
      <c r="B11" s="30" t="s">
        <v>26</v>
      </c>
      <c r="C11" s="29" t="s">
        <v>19</v>
      </c>
      <c r="D11" s="44">
        <f>L10+M10</f>
        <v>32.558685000000004</v>
      </c>
      <c r="E11" s="30" t="s">
        <v>195</v>
      </c>
      <c r="F11" s="35"/>
      <c r="G11" s="122">
        <f>((((((4.7+7.3)/2)*2.6)*26)-(1.48*2*1.4*26))*0.97)+(((5.25/6*(((2*17.3+9.4)*16.1)+((2*9.4+17.3)*8.2)))-(4.5*3*3))*0.97)+(((3.4/6*(((2*11.9+6.8)*11.9)+((2*6.8+11.9)*6.8)))-(5.06*3.8*3))*0.97)</f>
        <v>1341.6511350000001</v>
      </c>
      <c r="H11" s="122">
        <f>(((((4.7+7.3)/2)*2.6)*26)-(1.48*2*1.4*26))*0.03</f>
        <v>8.9356799999999996</v>
      </c>
      <c r="I11" s="7">
        <f>(((5.25/6*(((2*17.3+9.4)*16.1)+((2*9.4+17.3)*8.2)))-(4.5*3*3))*0.03)+(((3.4/6*(((2*11.9+6.8)*11.9)+((2*6.8+11.9)*6.8)))-(5.06*3.8*3))*0.03)</f>
        <v>32.558685000000004</v>
      </c>
      <c r="J11" s="1"/>
      <c r="K11" s="1"/>
      <c r="L11" s="1"/>
      <c r="M11" s="1"/>
      <c r="N11" s="1"/>
      <c r="O11" s="1">
        <f>10.4-1</f>
        <v>9.4000000000000004</v>
      </c>
      <c r="P11" s="1">
        <f>9.2-1</f>
        <v>8.1999999999999993</v>
      </c>
      <c r="Q11" s="1">
        <v>5.25</v>
      </c>
      <c r="R11" s="1"/>
      <c r="S11" s="1"/>
    </row>
    <row r="12" ht="38.25" outlineLevel="1">
      <c r="A12" s="29">
        <f t="shared" si="60"/>
        <v>4</v>
      </c>
      <c r="B12" s="30" t="s">
        <v>28</v>
      </c>
      <c r="C12" s="29" t="s">
        <v>29</v>
      </c>
      <c r="D12" s="44">
        <f>J12</f>
        <v>267.75</v>
      </c>
      <c r="E12" s="30" t="s">
        <v>196</v>
      </c>
      <c r="F12" s="35"/>
      <c r="G12" s="7"/>
      <c r="H12" s="1"/>
      <c r="I12" s="1"/>
      <c r="J12" s="1">
        <f>((O10+O11)/2*Q11*2)+((P10+P11)/2*Q11*2)</f>
        <v>267.75</v>
      </c>
      <c r="K12" s="1">
        <f>((17.3+9.4)/2*5.25*2)+((16.1+8.2)/2*5.25*2)</f>
        <v>267.75</v>
      </c>
      <c r="L12" s="1"/>
      <c r="M12" s="1"/>
      <c r="N12" s="1"/>
      <c r="O12" s="1"/>
      <c r="P12" s="1"/>
      <c r="Q12" s="1"/>
      <c r="R12" s="1"/>
      <c r="S12" s="1"/>
    </row>
    <row r="13" outlineLevel="1">
      <c r="A13" s="29">
        <f t="shared" si="60"/>
        <v>5</v>
      </c>
      <c r="B13" s="30" t="s">
        <v>223</v>
      </c>
      <c r="C13" s="29" t="s">
        <v>31</v>
      </c>
      <c r="D13" s="36">
        <f>ROUND((D10+D11)*1.95,2)+0.015</f>
        <v>80.924999999999997</v>
      </c>
      <c r="E13" s="30" t="s">
        <v>197</v>
      </c>
      <c r="F13" s="3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ht="36.75" customHeight="1" outlineLevel="1">
      <c r="A14" s="29">
        <f t="shared" si="60"/>
        <v>6</v>
      </c>
      <c r="B14" s="30" t="s">
        <v>33</v>
      </c>
      <c r="C14" s="29" t="s">
        <v>19</v>
      </c>
      <c r="D14" s="31">
        <v>12.300000000000001</v>
      </c>
      <c r="E14" s="30" t="s">
        <v>34</v>
      </c>
      <c r="F14" s="35"/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outlineLevel="1">
      <c r="A15" s="29">
        <f t="shared" si="60"/>
        <v>7</v>
      </c>
      <c r="B15" s="30" t="s">
        <v>223</v>
      </c>
      <c r="C15" s="29" t="s">
        <v>31</v>
      </c>
      <c r="D15" s="36">
        <f>ROUND(D14*1.95,3)</f>
        <v>23.984999999999999</v>
      </c>
      <c r="E15" s="30" t="s">
        <v>36</v>
      </c>
      <c r="F15" s="37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ht="89.25" outlineLevel="1">
      <c r="A16" s="29">
        <f t="shared" si="60"/>
        <v>8</v>
      </c>
      <c r="B16" s="30" t="s">
        <v>224</v>
      </c>
      <c r="C16" s="29" t="s">
        <v>31</v>
      </c>
      <c r="D16" s="135">
        <f>ROUND((D9+D10+D11+12.3)*1.95,3)+0.0085</f>
        <v>2721.1275000000001</v>
      </c>
      <c r="E16" s="30" t="s">
        <v>198</v>
      </c>
      <c r="F16" s="35"/>
      <c r="G16" s="7"/>
      <c r="H16" s="1"/>
      <c r="I16" s="1"/>
      <c r="J16" s="1"/>
      <c r="K16" s="1"/>
      <c r="L16" s="1"/>
      <c r="M16" s="1"/>
      <c r="N16" s="136">
        <f>D16-2721.1275</f>
        <v>0</v>
      </c>
      <c r="O16" s="1"/>
      <c r="P16" s="1"/>
      <c r="Q16" s="1"/>
      <c r="R16" s="1"/>
      <c r="S16" s="1"/>
    </row>
    <row r="17" outlineLevel="1">
      <c r="A17" s="29">
        <f t="shared" si="60"/>
        <v>9</v>
      </c>
      <c r="B17" s="30" t="s">
        <v>39</v>
      </c>
      <c r="C17" s="29" t="s">
        <v>19</v>
      </c>
      <c r="D17" s="44">
        <f>ROUND(D9+D10+D11+D14,1)+0.05</f>
        <v>1395.45</v>
      </c>
      <c r="E17" s="30" t="s">
        <v>199</v>
      </c>
      <c r="F17" s="35"/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outlineLevel="1">
      <c r="A18" s="29">
        <f t="shared" si="60"/>
        <v>10</v>
      </c>
      <c r="B18" s="30" t="s">
        <v>41</v>
      </c>
      <c r="C18" s="29" t="s">
        <v>42</v>
      </c>
      <c r="D18" s="38">
        <f>ROUND(D17*2/50,1)</f>
        <v>55.800000000000004</v>
      </c>
      <c r="E18" s="30" t="s">
        <v>200</v>
      </c>
      <c r="F18" s="35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>
      <c r="A19" s="28" t="s">
        <v>44</v>
      </c>
      <c r="B19" s="28"/>
      <c r="C19" s="28"/>
      <c r="D19" s="28"/>
      <c r="E19" s="28"/>
      <c r="F19" s="6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>
      <c r="A20" s="28" t="s">
        <v>45</v>
      </c>
      <c r="B20" s="28"/>
      <c r="C20" s="28"/>
      <c r="D20" s="28"/>
      <c r="E20" s="28"/>
      <c r="F20" s="6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ht="127.5">
      <c r="A21" s="29">
        <f>A18+1</f>
        <v>11</v>
      </c>
      <c r="B21" s="30" t="s">
        <v>225</v>
      </c>
      <c r="C21" s="29" t="s">
        <v>19</v>
      </c>
      <c r="D21" s="44">
        <f>J21+K21</f>
        <v>57.149086400000002</v>
      </c>
      <c r="E21" s="40" t="s">
        <v>201</v>
      </c>
      <c r="F21" s="6"/>
      <c r="G21" s="7"/>
      <c r="H21" s="1"/>
      <c r="I21" s="1"/>
      <c r="J21" s="41">
        <f>((4.5*3*0.8)+((4.5*3*0.8)-(0.51*0.51*3.14*0.8*2))+((4.5*3*0.4)-(0.51*0.51*3.14*0.4*2))+(2.2*3*0.4*2))-1.31</f>
        <v>29.009886400000003</v>
      </c>
      <c r="K21" s="41">
        <f>((5.06*3.8*0.4)+(((3.8*3*0.4)*2)-((1*1*0.4)*2))+(((5.06*3*0.4)*2)-(0.2*0.2*0.4)))</f>
        <v>28.139199999999999</v>
      </c>
      <c r="L21" s="41"/>
      <c r="M21" s="1"/>
      <c r="N21" s="1"/>
      <c r="O21" s="1"/>
      <c r="P21" s="1"/>
      <c r="Q21" s="1"/>
      <c r="R21" s="1"/>
      <c r="S21" s="1"/>
    </row>
    <row r="22" ht="51">
      <c r="A22" s="29">
        <f t="shared" ref="A22:A23" si="61">A21+1</f>
        <v>12</v>
      </c>
      <c r="B22" s="30" t="s">
        <v>226</v>
      </c>
      <c r="C22" s="29" t="s">
        <v>49</v>
      </c>
      <c r="D22" s="29">
        <v>1</v>
      </c>
      <c r="E22" s="30" t="s">
        <v>50</v>
      </c>
      <c r="F22" s="6"/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ht="165.75">
      <c r="A23" s="29">
        <f t="shared" si="61"/>
        <v>13</v>
      </c>
      <c r="B23" s="30" t="s">
        <v>227</v>
      </c>
      <c r="C23" s="29" t="s">
        <v>31</v>
      </c>
      <c r="D23" s="29">
        <v>0.44</v>
      </c>
      <c r="E23" s="40" t="s">
        <v>52</v>
      </c>
      <c r="F23" s="6"/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>
      <c r="A24" s="28" t="s">
        <v>53</v>
      </c>
      <c r="B24" s="28"/>
      <c r="C24" s="28"/>
      <c r="D24" s="28"/>
      <c r="E24" s="28"/>
      <c r="F24" s="42"/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ht="63.75" outlineLevel="1">
      <c r="A25" s="29">
        <f>A23+1</f>
        <v>14</v>
      </c>
      <c r="B25" s="30" t="s">
        <v>54</v>
      </c>
      <c r="C25" s="29" t="s">
        <v>19</v>
      </c>
      <c r="D25" s="29">
        <f>ROUND((0.72*24)+(0.09*10),1)</f>
        <v>18.199999999999999</v>
      </c>
      <c r="E25" s="30" t="s">
        <v>55</v>
      </c>
      <c r="F25" s="42"/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ht="153" outlineLevel="1">
      <c r="A26" s="29">
        <f t="shared" ref="A26:A31" si="62">A25+1</f>
        <v>15</v>
      </c>
      <c r="B26" s="30" t="s">
        <v>228</v>
      </c>
      <c r="C26" s="29" t="s">
        <v>57</v>
      </c>
      <c r="D26" s="31">
        <f>(39.04+37.56+1+0.95)+(4*1.932)</f>
        <v>86.277999999999992</v>
      </c>
      <c r="E26" s="30" t="s">
        <v>58</v>
      </c>
      <c r="F26" s="6"/>
      <c r="G26" s="7"/>
      <c r="H26" s="1"/>
      <c r="I26" s="1"/>
      <c r="J26" s="41"/>
      <c r="K26" s="1"/>
      <c r="L26" s="1"/>
      <c r="M26" s="1"/>
      <c r="N26" s="41"/>
      <c r="O26" s="1"/>
      <c r="P26" s="1"/>
      <c r="Q26" s="1"/>
      <c r="R26" s="1"/>
      <c r="S26" s="1"/>
    </row>
    <row r="27" ht="25.5" outlineLevel="1">
      <c r="A27" s="29">
        <f t="shared" si="62"/>
        <v>16</v>
      </c>
      <c r="B27" s="30" t="s">
        <v>229</v>
      </c>
      <c r="C27" s="29" t="s">
        <v>60</v>
      </c>
      <c r="D27" s="31">
        <f>ROUND(((0.82+(0.16/1.2))*3.14*(D26)),1)</f>
        <v>258.30000000000001</v>
      </c>
      <c r="E27" s="30" t="s">
        <v>202</v>
      </c>
      <c r="F27" s="6"/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ht="76.5" outlineLevel="1">
      <c r="A28" s="29">
        <f t="shared" si="62"/>
        <v>17</v>
      </c>
      <c r="B28" s="30" t="s">
        <v>230</v>
      </c>
      <c r="C28" s="29" t="s">
        <v>31</v>
      </c>
      <c r="D28" s="36">
        <f>ROUND((10*0.04/2)+(4*0.1428/2),3)</f>
        <v>0.48599999999999999</v>
      </c>
      <c r="E28" s="30" t="s">
        <v>62</v>
      </c>
      <c r="F28" s="6"/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ht="51" outlineLevel="1">
      <c r="A29" s="29">
        <f t="shared" si="62"/>
        <v>18</v>
      </c>
      <c r="B29" s="30" t="s">
        <v>231</v>
      </c>
      <c r="C29" s="29" t="s">
        <v>57</v>
      </c>
      <c r="D29" s="44">
        <f>12+(2*0.325)+(2*0.234)</f>
        <v>13.118</v>
      </c>
      <c r="E29" s="30" t="s">
        <v>203</v>
      </c>
      <c r="F29" s="6"/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ht="12" customHeight="1" outlineLevel="1">
      <c r="A30" s="29">
        <f t="shared" si="62"/>
        <v>19</v>
      </c>
      <c r="B30" s="30" t="s">
        <v>65</v>
      </c>
      <c r="C30" s="29" t="s">
        <v>19</v>
      </c>
      <c r="D30" s="36">
        <f>(D28)*6</f>
        <v>2.9159999999999999</v>
      </c>
      <c r="E30" s="30"/>
      <c r="F30" s="6"/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outlineLevel="1">
      <c r="A31" s="29">
        <f t="shared" si="62"/>
        <v>20</v>
      </c>
      <c r="B31" s="30" t="s">
        <v>66</v>
      </c>
      <c r="C31" s="29" t="s">
        <v>67</v>
      </c>
      <c r="D31" s="44">
        <v>0.96999999999999997</v>
      </c>
      <c r="E31" s="30"/>
      <c r="F31" s="6"/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>
      <c r="A32" s="28" t="s">
        <v>68</v>
      </c>
      <c r="B32" s="28"/>
      <c r="C32" s="28"/>
      <c r="D32" s="28"/>
      <c r="E32" s="28"/>
      <c r="F32" s="6"/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ht="51" outlineLevel="1">
      <c r="A33" s="29">
        <f>A31+1</f>
        <v>21</v>
      </c>
      <c r="B33" s="30" t="s">
        <v>232</v>
      </c>
      <c r="C33" s="29" t="s">
        <v>70</v>
      </c>
      <c r="D33" s="36">
        <f>ROUND((0.101*78.55)+(12*0.01),4)</f>
        <v>8.0535999999999994</v>
      </c>
      <c r="E33" s="30" t="s">
        <v>71</v>
      </c>
      <c r="F33" s="46"/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ht="102" outlineLevel="1">
      <c r="A34" s="29">
        <f t="shared" ref="A34:A53" si="63">A33+1</f>
        <v>22</v>
      </c>
      <c r="B34" s="30" t="s">
        <v>233</v>
      </c>
      <c r="C34" s="29" t="s">
        <v>70</v>
      </c>
      <c r="D34" s="36">
        <f>D33</f>
        <v>8.0535999999999994</v>
      </c>
      <c r="E34" s="30" t="str">
        <f>E33</f>
        <v xml:space="preserve">Трубопроводы
Дн=820х5мм - 0,101тн*78,55м
Дн=108х4мм - 0,01тн*12м</v>
      </c>
      <c r="F34" s="46"/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ht="51" outlineLevel="1">
      <c r="A35" s="29">
        <f t="shared" si="63"/>
        <v>23</v>
      </c>
      <c r="B35" s="30" t="str">
        <f>B33</f>
        <v xml:space="preserve">Погрузка в автотранспортное средство: трубы металлические (погрузка и разгрузка с применением автомобильных кранов)
(трубы б/у)</v>
      </c>
      <c r="C35" s="29" t="s">
        <v>70</v>
      </c>
      <c r="D35" s="36">
        <f>D33</f>
        <v>8.0535999999999994</v>
      </c>
      <c r="E35" s="30" t="str">
        <f>E33</f>
        <v xml:space="preserve">Трубопроводы
Дн=820х5мм - 0,101тн*78,55м
Дн=108х4мм - 0,01тн*12м</v>
      </c>
      <c r="F35" s="46"/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ht="89.25" outlineLevel="1">
      <c r="A36" s="29">
        <f t="shared" si="63"/>
        <v>24</v>
      </c>
      <c r="B36" s="30" t="s">
        <v>234</v>
      </c>
      <c r="C36" s="29" t="s">
        <v>70</v>
      </c>
      <c r="D36" s="44">
        <f>(48*1.8)+(10*0.23)+1.77+(2*3)+(2*3.975)+(3.5)</f>
        <v>107.92</v>
      </c>
      <c r="E36" s="30" t="s">
        <v>75</v>
      </c>
      <c r="F36" s="40"/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ht="89.25" outlineLevel="1">
      <c r="A37" s="29">
        <f t="shared" si="63"/>
        <v>25</v>
      </c>
      <c r="B37" s="30" t="s">
        <v>235</v>
      </c>
      <c r="C37" s="29" t="s">
        <v>70</v>
      </c>
      <c r="D37" s="44">
        <f>D36</f>
        <v>107.92</v>
      </c>
      <c r="E37" s="30" t="str">
        <f>E36</f>
        <v xml:space="preserve">Лоток Л11-8 (1,8тн; 0,72 м3) - 48 шт
Опорная подушка ОП-7 (0,23тн; 0,09 м3) - 10шт
Балка Б7 - 1 шт (0,71м3, 1,77тн)
Плиты
ПТ 42.15-8АIII-ЛК - 2шт (1,2м3;  3,0тн)
ПТ 54.15-8АIII-ЛК - 2шт (1,59м3;  3,975тн)
ПТ 54.12 - 1шт (1,4м3;  3,5тн)</v>
      </c>
      <c r="F37" s="47"/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ht="51" outlineLevel="1">
      <c r="A38" s="29">
        <f t="shared" si="63"/>
        <v>26</v>
      </c>
      <c r="B38" s="30" t="s">
        <v>236</v>
      </c>
      <c r="C38" s="29" t="s">
        <v>70</v>
      </c>
      <c r="D38" s="44">
        <f>(D21*2.5)+0.007</f>
        <v>142.879716</v>
      </c>
      <c r="E38" s="30" t="s">
        <v>78</v>
      </c>
      <c r="F38" s="47"/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ht="102" outlineLevel="1">
      <c r="A39" s="29">
        <f t="shared" si="63"/>
        <v>27</v>
      </c>
      <c r="B39" s="30" t="s">
        <v>237</v>
      </c>
      <c r="C39" s="29" t="s">
        <v>70</v>
      </c>
      <c r="D39" s="44">
        <f>D38</f>
        <v>142.879716</v>
      </c>
      <c r="E39" s="30" t="str">
        <f>E38</f>
        <v xml:space="preserve">ТК-327.15
ТК-327.15А</v>
      </c>
      <c r="F39" s="47"/>
      <c r="G39" s="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ht="38.25" outlineLevel="1">
      <c r="A40" s="29">
        <f t="shared" si="63"/>
        <v>28</v>
      </c>
      <c r="B40" s="30" t="s">
        <v>238</v>
      </c>
      <c r="C40" s="29" t="s">
        <v>70</v>
      </c>
      <c r="D40" s="36">
        <f>ROUND((D26)*PI()*(0.82+0.08/1.2)*0.08/1.2*75/1000,3)</f>
        <v>1.202</v>
      </c>
      <c r="E40" s="30"/>
      <c r="F40" s="46"/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ht="102" outlineLevel="1">
      <c r="A41" s="29">
        <f t="shared" si="63"/>
        <v>29</v>
      </c>
      <c r="B41" s="30" t="s">
        <v>239</v>
      </c>
      <c r="C41" s="29" t="s">
        <v>70</v>
      </c>
      <c r="D41" s="36">
        <f>D40</f>
        <v>1.202</v>
      </c>
      <c r="E41" s="30"/>
      <c r="F41" s="46"/>
      <c r="G41" s="7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ht="25.5" outlineLevel="1">
      <c r="A42" s="29">
        <f t="shared" si="63"/>
        <v>30</v>
      </c>
      <c r="B42" s="30" t="s">
        <v>82</v>
      </c>
      <c r="C42" s="29" t="s">
        <v>70</v>
      </c>
      <c r="D42" s="36">
        <f>D41+D39+D37</f>
        <v>252.00171599999999</v>
      </c>
      <c r="E42" s="30"/>
      <c r="F42" s="6"/>
      <c r="G42" s="7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ht="89.25" outlineLevel="1">
      <c r="A43" s="29">
        <f t="shared" si="63"/>
        <v>31</v>
      </c>
      <c r="B43" s="30" t="s">
        <v>240</v>
      </c>
      <c r="C43" s="29" t="s">
        <v>70</v>
      </c>
      <c r="D43" s="36">
        <f>ROUND((10*0.069/2)+(0.249*4)+(4*(0.1428/2)),3)</f>
        <v>1.627</v>
      </c>
      <c r="E43" s="30" t="s">
        <v>84</v>
      </c>
      <c r="F43" s="47"/>
      <c r="G43" s="7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ht="89.25" outlineLevel="1">
      <c r="A44" s="29">
        <f t="shared" si="63"/>
        <v>32</v>
      </c>
      <c r="B44" s="30" t="s">
        <v>241</v>
      </c>
      <c r="C44" s="29" t="s">
        <v>70</v>
      </c>
      <c r="D44" s="36">
        <f>D43</f>
        <v>1.627</v>
      </c>
      <c r="E44" s="30" t="str">
        <f>E43</f>
        <v xml:space="preserve">Скользящие опоры ТС-624.000-057 10шт*0,069тн/2
Заглушки ТС-596.000-13
Ду=800мм - 0,249тн*4шт
Опора неподвижная ТС-664.00-04
НО Ду 800 - 4 шт *0,1428тн/2</v>
      </c>
      <c r="F44" s="47"/>
      <c r="G44" s="7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ht="102" outlineLevel="1">
      <c r="A45" s="29">
        <f t="shared" si="63"/>
        <v>33</v>
      </c>
      <c r="B45" s="30" t="s">
        <v>242</v>
      </c>
      <c r="C45" s="29" t="s">
        <v>70</v>
      </c>
      <c r="D45" s="36">
        <f>ROUND((4*0.231)+(2*0.003)+(2*(0.0083/2)),3)</f>
        <v>0.93800000000000006</v>
      </c>
      <c r="E45" s="30" t="s">
        <v>87</v>
      </c>
      <c r="F45" s="47"/>
      <c r="G45" s="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ht="102" outlineLevel="1">
      <c r="A46" s="29">
        <f t="shared" si="63"/>
        <v>34</v>
      </c>
      <c r="B46" s="30" t="s">
        <v>243</v>
      </c>
      <c r="C46" s="29" t="s">
        <v>70</v>
      </c>
      <c r="D46" s="36">
        <f>D45</f>
        <v>0.93800000000000006</v>
      </c>
      <c r="E46" s="30" t="str">
        <f>E45</f>
        <v xml:space="preserve">Отводы 90гр.
Дн=820х6мм - 4шт*0,231тн
Дн=108х5мм - 2шт*0,003тн
Краны
Ду100 - 2шт*0,0083/2=83 кг</v>
      </c>
      <c r="F46" s="47"/>
      <c r="G46" s="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ht="178.5" outlineLevel="1">
      <c r="A47" s="29">
        <f t="shared" si="63"/>
        <v>35</v>
      </c>
      <c r="B47" s="30" t="s">
        <v>244</v>
      </c>
      <c r="C47" s="29" t="s">
        <v>70</v>
      </c>
      <c r="D47" s="36">
        <f>D43+D45</f>
        <v>2.5649999999999999</v>
      </c>
      <c r="E47" s="30" t="s">
        <v>90</v>
      </c>
      <c r="F47" s="37"/>
      <c r="G47" s="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ht="140.25" outlineLevel="1">
      <c r="A48" s="29">
        <f t="shared" si="63"/>
        <v>36</v>
      </c>
      <c r="B48" s="30" t="s">
        <v>245</v>
      </c>
      <c r="C48" s="29" t="s">
        <v>70</v>
      </c>
      <c r="D48" s="36">
        <f>ROUND((4*0.863)+(2*0.0777)+(2*0.335)+(4*0.1566)+1.114,3)</f>
        <v>6.0179999999999998</v>
      </c>
      <c r="E48" s="30" t="s">
        <v>92</v>
      </c>
      <c r="F48" s="37"/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ht="140.25" outlineLevel="1">
      <c r="A49" s="29">
        <f t="shared" si="63"/>
        <v>37</v>
      </c>
      <c r="B49" s="30" t="s">
        <v>246</v>
      </c>
      <c r="C49" s="29" t="s">
        <v>70</v>
      </c>
      <c r="D49" s="36">
        <f>D48</f>
        <v>6.0179999999999998</v>
      </c>
      <c r="E49" s="30" t="s">
        <v>94</v>
      </c>
      <c r="F49" s="37"/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ht="51" outlineLevel="1">
      <c r="A50" s="29">
        <f t="shared" si="63"/>
        <v>38</v>
      </c>
      <c r="B50" s="30" t="s">
        <v>247</v>
      </c>
      <c r="C50" s="29" t="s">
        <v>70</v>
      </c>
      <c r="D50" s="36">
        <f>ROUND((75.95*0.301)+(12*0.0777),3)</f>
        <v>23.792999999999999</v>
      </c>
      <c r="E50" s="30" t="s">
        <v>96</v>
      </c>
      <c r="F50" s="47"/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ht="102" outlineLevel="1">
      <c r="A51" s="29">
        <f t="shared" si="63"/>
        <v>39</v>
      </c>
      <c r="B51" s="30" t="s">
        <v>248</v>
      </c>
      <c r="C51" s="29" t="s">
        <v>70</v>
      </c>
      <c r="D51" s="36">
        <f>D50</f>
        <v>23.792999999999999</v>
      </c>
      <c r="E51" s="30" t="str">
        <f>E50</f>
        <v xml:space="preserve">Трубопроводы
Дн=1020х12мм - 0,301тн*75,95м
Дн=325х10мм - 0,0777тн*12м</v>
      </c>
      <c r="F51" s="47"/>
      <c r="G51" s="7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ht="63.75" outlineLevel="1">
      <c r="A52" s="29">
        <f t="shared" si="63"/>
        <v>40</v>
      </c>
      <c r="B52" s="30" t="s">
        <v>98</v>
      </c>
      <c r="C52" s="29" t="s">
        <v>70</v>
      </c>
      <c r="D52" s="31">
        <f>ROUND((4.725*1)+(2.38*1)+(22*2.48)+(22*3.75)+(10*0.65),3)</f>
        <v>150.66499999999999</v>
      </c>
      <c r="E52" s="30" t="s">
        <v>99</v>
      </c>
      <c r="F52" s="47"/>
      <c r="G52" s="37"/>
      <c r="H52" s="47"/>
      <c r="I52" s="47"/>
      <c r="J52" s="47"/>
      <c r="K52" s="1"/>
      <c r="L52" s="1"/>
      <c r="M52" s="1"/>
      <c r="N52" s="1"/>
      <c r="O52" s="1"/>
      <c r="P52" s="1"/>
      <c r="Q52" s="1"/>
      <c r="R52" s="1"/>
      <c r="S52" s="1"/>
    </row>
    <row r="53" ht="89.25" outlineLevel="1">
      <c r="A53" s="29">
        <f t="shared" si="63"/>
        <v>41</v>
      </c>
      <c r="B53" s="30" t="s">
        <v>249</v>
      </c>
      <c r="C53" s="29" t="s">
        <v>70</v>
      </c>
      <c r="D53" s="31">
        <f>D52</f>
        <v>150.66499999999999</v>
      </c>
      <c r="E53" s="30" t="str">
        <f>E52</f>
        <v xml:space="preserve">Плиты ПТ 63.15-8 ЛК - 1шт (4,725тн; 1,89м3)
Плиты ПТ 63.07 - 1шт (2,38тн; 0,95м3)
Лотки Л15-11 - 24шт (2,48тн; 0,99м3)
Лотки Л17-11 - 24шт (3,75тн; 1,5м3)
опорные подушки ОП-8 - 10шт (0,65тн; 0,26м3)</v>
      </c>
      <c r="F53" s="47"/>
      <c r="G53" s="37"/>
      <c r="H53" s="47"/>
      <c r="I53" s="47"/>
      <c r="J53" s="47"/>
      <c r="K53" s="1"/>
      <c r="L53" s="1"/>
      <c r="M53" s="1"/>
      <c r="N53" s="1"/>
      <c r="O53" s="1"/>
      <c r="P53" s="1"/>
      <c r="Q53" s="1"/>
      <c r="R53" s="1"/>
      <c r="S53" s="1"/>
    </row>
    <row r="54">
      <c r="A54" s="28" t="s">
        <v>101</v>
      </c>
      <c r="B54" s="28"/>
      <c r="C54" s="28"/>
      <c r="D54" s="28"/>
      <c r="E54" s="28"/>
      <c r="F54" s="6"/>
      <c r="G54" s="7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ht="25.5" outlineLevel="1">
      <c r="A55" s="29">
        <f>A53+1</f>
        <v>42</v>
      </c>
      <c r="B55" s="30" t="s">
        <v>102</v>
      </c>
      <c r="C55" s="29" t="s">
        <v>103</v>
      </c>
      <c r="D55" s="44">
        <f>ROUND(((3.68+0.2)*0.1*26),1)+0.4</f>
        <v>10.500000000000002</v>
      </c>
      <c r="E55" s="30" t="s">
        <v>204</v>
      </c>
      <c r="F55" s="42"/>
      <c r="G55" s="7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ht="51" outlineLevel="1">
      <c r="A56" s="29">
        <f t="shared" ref="A56:A59" si="64">A55+1</f>
        <v>43</v>
      </c>
      <c r="B56" s="30" t="s">
        <v>250</v>
      </c>
      <c r="C56" s="29" t="s">
        <v>106</v>
      </c>
      <c r="D56" s="44">
        <f>ROUND((0.99*22)+(1.5*22)+(0.26*10),1)</f>
        <v>57.400000000000006</v>
      </c>
      <c r="E56" s="30" t="s">
        <v>205</v>
      </c>
      <c r="F56" s="42"/>
      <c r="G56" s="7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outlineLevel="1">
      <c r="A57" s="29">
        <f t="shared" si="64"/>
        <v>44</v>
      </c>
      <c r="B57" s="30" t="s">
        <v>251</v>
      </c>
      <c r="C57" s="29" t="s">
        <v>19</v>
      </c>
      <c r="D57" s="29">
        <f>ROUND((((1.6*2)+(0.6*4)+(2.05*2)+2.96)*22)*0.002,2)</f>
        <v>0.56000000000000005</v>
      </c>
      <c r="E57" s="30" t="s">
        <v>206</v>
      </c>
      <c r="F57" s="42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ht="38.25" outlineLevel="1">
      <c r="A58" s="29">
        <f t="shared" si="64"/>
        <v>45</v>
      </c>
      <c r="B58" s="30" t="s">
        <v>252</v>
      </c>
      <c r="C58" s="29" t="s">
        <v>110</v>
      </c>
      <c r="D58" s="36">
        <f>ROUND(88*0.0029,3)</f>
        <v>0.255</v>
      </c>
      <c r="E58" s="30" t="s">
        <v>207</v>
      </c>
      <c r="F58" s="42"/>
      <c r="G58" s="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ht="38.25" outlineLevel="1">
      <c r="A59" s="29">
        <f t="shared" si="64"/>
        <v>46</v>
      </c>
      <c r="B59" s="30" t="s">
        <v>253</v>
      </c>
      <c r="C59" s="29" t="s">
        <v>112</v>
      </c>
      <c r="D59" s="31">
        <f>((2.96*3)+(2.05*4)+(1.84*4))*0.25*22</f>
        <v>134.41999999999999</v>
      </c>
      <c r="E59" s="30" t="s">
        <v>208</v>
      </c>
      <c r="F59" s="35"/>
      <c r="G59" s="7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>
      <c r="A60" s="28" t="s">
        <v>16</v>
      </c>
      <c r="B60" s="28"/>
      <c r="C60" s="28"/>
      <c r="D60" s="28"/>
      <c r="E60" s="28"/>
      <c r="F60" s="6"/>
      <c r="G60" s="7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ht="24">
      <c r="A61" s="29">
        <f>A59+1</f>
        <v>47</v>
      </c>
      <c r="B61" s="30" t="s">
        <v>254</v>
      </c>
      <c r="C61" s="29" t="s">
        <v>19</v>
      </c>
      <c r="D61" s="44">
        <f>ROUND(7.4*8.6*0.15,2)</f>
        <v>9.5500000000000007</v>
      </c>
      <c r="E61" s="30" t="s">
        <v>209</v>
      </c>
      <c r="F61" s="6"/>
      <c r="G61" s="7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ht="24">
      <c r="A62" s="29">
        <f t="shared" ref="A62:A66" si="65">A61+1</f>
        <v>48</v>
      </c>
      <c r="B62" s="30" t="s">
        <v>254</v>
      </c>
      <c r="C62" s="29" t="s">
        <v>19</v>
      </c>
      <c r="D62" s="44">
        <f>ROUND(7.4*8.6*0.1,2)</f>
        <v>6.3600000000000003</v>
      </c>
      <c r="E62" s="30" t="s">
        <v>210</v>
      </c>
      <c r="F62" s="6"/>
      <c r="G62" s="7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ht="180">
      <c r="A63" s="29">
        <f t="shared" si="65"/>
        <v>49</v>
      </c>
      <c r="B63" s="30" t="s">
        <v>255</v>
      </c>
      <c r="C63" s="29" t="s">
        <v>19</v>
      </c>
      <c r="D63" s="29">
        <f>161.21+1.89+0.95</f>
        <v>164.04999999999998</v>
      </c>
      <c r="E63" s="30" t="s">
        <v>116</v>
      </c>
      <c r="F63" s="6"/>
      <c r="G63" s="7"/>
      <c r="H63" s="1"/>
      <c r="I63" s="49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ht="60">
      <c r="A64" s="29">
        <f t="shared" si="65"/>
        <v>50</v>
      </c>
      <c r="B64" s="30" t="s">
        <v>256</v>
      </c>
      <c r="C64" s="29" t="s">
        <v>31</v>
      </c>
      <c r="D64" s="44">
        <v>0.11</v>
      </c>
      <c r="E64" s="30" t="s">
        <v>118</v>
      </c>
      <c r="F64" s="6"/>
      <c r="G64" s="7"/>
      <c r="H64" s="1"/>
      <c r="I64" s="49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ht="60">
      <c r="A65" s="29">
        <f t="shared" si="65"/>
        <v>51</v>
      </c>
      <c r="B65" s="30" t="s">
        <v>257</v>
      </c>
      <c r="C65" s="29" t="s">
        <v>31</v>
      </c>
      <c r="D65" s="44">
        <f>D64</f>
        <v>0.11</v>
      </c>
      <c r="E65" s="30" t="str">
        <f>E64</f>
        <v xml:space="preserve">Сталь угловая: 75х75х6 мм - 0,042тн*2шт; Горячекатаная арматурная сталь гладкая класса А-I, диаметром: 18 мм - 0,011тн*2шт; Сталь листовая углеродистая обыкновенного качества марки ВСт3пс5 толщиной: 6 мм - 0,001тн*2шт
Вес наплавленного металла - 0,001тн*2шт</v>
      </c>
      <c r="F65" s="6"/>
      <c r="G65" s="7"/>
      <c r="H65" s="1"/>
      <c r="I65" s="49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ht="24">
      <c r="A66" s="29">
        <f t="shared" si="65"/>
        <v>52</v>
      </c>
      <c r="B66" s="30" t="s">
        <v>120</v>
      </c>
      <c r="C66" s="29" t="s">
        <v>29</v>
      </c>
      <c r="D66" s="29">
        <f>2.7675*2</f>
        <v>5.5350000000000001</v>
      </c>
      <c r="E66" s="30"/>
      <c r="F66" s="6"/>
      <c r="G66" s="7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>
      <c r="A67" s="28" t="s">
        <v>17</v>
      </c>
      <c r="B67" s="28"/>
      <c r="C67" s="28"/>
      <c r="D67" s="28"/>
      <c r="E67" s="28"/>
      <c r="F67" s="6"/>
      <c r="G67" s="7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ht="24">
      <c r="A68" s="50">
        <f>A66+1</f>
        <v>53</v>
      </c>
      <c r="B68" s="30" t="s">
        <v>254</v>
      </c>
      <c r="C68" s="29" t="s">
        <v>19</v>
      </c>
      <c r="D68" s="51">
        <f>6*6*0.15</f>
        <v>5.3999999999999995</v>
      </c>
      <c r="E68" s="40" t="s">
        <v>211</v>
      </c>
      <c r="F68" s="6"/>
      <c r="G68" s="7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>
      <c r="A69" s="50">
        <f t="shared" ref="A69:A73" si="66">A68+1</f>
        <v>54</v>
      </c>
      <c r="B69" s="30" t="s">
        <v>258</v>
      </c>
      <c r="C69" s="29" t="s">
        <v>19</v>
      </c>
      <c r="D69" s="51">
        <f>6*6*0.1</f>
        <v>3.6000000000000001</v>
      </c>
      <c r="E69" s="40" t="s">
        <v>212</v>
      </c>
      <c r="F69" s="6"/>
      <c r="G69" s="7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ht="144">
      <c r="A70" s="50">
        <f t="shared" si="66"/>
        <v>55</v>
      </c>
      <c r="B70" s="30" t="s">
        <v>255</v>
      </c>
      <c r="C70" s="29" t="s">
        <v>19</v>
      </c>
      <c r="D70" s="51">
        <f>((5.8*5.8*0.4)+((3.3*5.8*0.4)-(1.3*1.3*0.4))+(5.8*3.3*0.4*3)-(0.2*0.2*0.4))+0.57*2+0.96*2+0.77*2+0.65</f>
        <v>48.637999999999998</v>
      </c>
      <c r="E70" s="40" t="s">
        <v>121</v>
      </c>
      <c r="F70" s="6"/>
      <c r="G70" s="7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ht="60">
      <c r="A71" s="29">
        <f t="shared" si="66"/>
        <v>56</v>
      </c>
      <c r="B71" s="30" t="s">
        <v>256</v>
      </c>
      <c r="C71" s="29" t="s">
        <v>31</v>
      </c>
      <c r="D71" s="44">
        <v>0.22</v>
      </c>
      <c r="E71" s="30" t="s">
        <v>122</v>
      </c>
      <c r="F71" s="6"/>
      <c r="G71" s="7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ht="60">
      <c r="A72" s="29">
        <f t="shared" si="66"/>
        <v>57</v>
      </c>
      <c r="B72" s="30" t="s">
        <v>259</v>
      </c>
      <c r="C72" s="29" t="s">
        <v>31</v>
      </c>
      <c r="D72" s="44">
        <f>D71</f>
        <v>0.22</v>
      </c>
      <c r="E72" s="30" t="str">
        <f>E71</f>
        <v xml:space="preserve">Сталь угловая: 75х75х6 мм - 0,042тн*4шт; Горячекатаная арматурная сталь гладкая класса А-I, диаметром: 18 мм - 0,011тн*4шт; Сталь листовая углеродистая обыкновенного качества марки ВСт3пс5 толщиной: 6 мм - 0,001тн*4шт
Вес наплавленного металла - 0,001тн*4шт</v>
      </c>
      <c r="F72" s="6"/>
      <c r="G72" s="7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ht="24">
      <c r="A73" s="29">
        <f t="shared" si="66"/>
        <v>58</v>
      </c>
      <c r="B73" s="30" t="s">
        <v>120</v>
      </c>
      <c r="C73" s="29" t="s">
        <v>29</v>
      </c>
      <c r="D73" s="29">
        <f>2.7675*4</f>
        <v>11.07</v>
      </c>
      <c r="E73" s="30"/>
      <c r="F73" s="6"/>
      <c r="G73" s="7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>
      <c r="A74" s="28" t="s">
        <v>123</v>
      </c>
      <c r="B74" s="28"/>
      <c r="C74" s="28"/>
      <c r="D74" s="28"/>
      <c r="E74" s="28"/>
      <c r="F74" s="6"/>
      <c r="G74" s="7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ht="180" outlineLevel="1">
      <c r="A75" s="38">
        <f>A73+1</f>
        <v>59</v>
      </c>
      <c r="B75" s="30" t="s">
        <v>260</v>
      </c>
      <c r="C75" s="29" t="s">
        <v>57</v>
      </c>
      <c r="D75" s="31">
        <f>ROUND(75.95+(4*2.12)+(4*0.457),1)</f>
        <v>86.300000000000011</v>
      </c>
      <c r="E75" s="30" t="s">
        <v>125</v>
      </c>
      <c r="F75" s="6"/>
      <c r="G75" s="7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ht="48" outlineLevel="1">
      <c r="A76" s="38">
        <f t="shared" ref="A76:A80" si="67">A75+1</f>
        <v>60</v>
      </c>
      <c r="B76" s="30" t="s">
        <v>261</v>
      </c>
      <c r="C76" s="29" t="s">
        <v>110</v>
      </c>
      <c r="D76" s="36">
        <f>(10*0.069)+(0.2622*8)</f>
        <v>2.7875999999999999</v>
      </c>
      <c r="E76" s="30" t="s">
        <v>213</v>
      </c>
      <c r="F76" s="6"/>
      <c r="G76" s="7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ht="24" outlineLevel="1">
      <c r="A77" s="38">
        <f t="shared" si="67"/>
        <v>61</v>
      </c>
      <c r="B77" s="30" t="s">
        <v>128</v>
      </c>
      <c r="C77" s="29" t="s">
        <v>129</v>
      </c>
      <c r="D77" s="36">
        <f>ROUND(4*0.249,3)</f>
        <v>0.996</v>
      </c>
      <c r="E77" s="30" t="s">
        <v>130</v>
      </c>
      <c r="F77" s="6"/>
      <c r="G77" s="7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ht="72" outlineLevel="1">
      <c r="A78" s="38">
        <f t="shared" si="67"/>
        <v>62</v>
      </c>
      <c r="B78" s="30" t="s">
        <v>262</v>
      </c>
      <c r="C78" s="29" t="s">
        <v>57</v>
      </c>
      <c r="D78" s="113">
        <f>ROUND(12+2*0.707,1)</f>
        <v>13.4</v>
      </c>
      <c r="E78" s="40" t="s">
        <v>132</v>
      </c>
      <c r="F78" s="6"/>
      <c r="G78" s="7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ht="24" outlineLevel="1">
      <c r="A79" s="38">
        <f t="shared" si="67"/>
        <v>63</v>
      </c>
      <c r="B79" s="30" t="s">
        <v>263</v>
      </c>
      <c r="C79" s="29" t="s">
        <v>49</v>
      </c>
      <c r="D79" s="113">
        <v>2</v>
      </c>
      <c r="E79" s="40" t="s">
        <v>134</v>
      </c>
      <c r="F79" s="6"/>
      <c r="G79" s="7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ht="36" outlineLevel="1">
      <c r="A80" s="38">
        <f t="shared" si="67"/>
        <v>64</v>
      </c>
      <c r="B80" s="30" t="s">
        <v>264</v>
      </c>
      <c r="C80" s="29" t="s">
        <v>57</v>
      </c>
      <c r="D80" s="113">
        <v>10</v>
      </c>
      <c r="E80" s="40" t="s">
        <v>136</v>
      </c>
      <c r="F80" s="6"/>
      <c r="G80" s="7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>
      <c r="A81" s="28" t="s">
        <v>137</v>
      </c>
      <c r="B81" s="28"/>
      <c r="C81" s="28"/>
      <c r="D81" s="28"/>
      <c r="E81" s="28"/>
      <c r="F81" s="6"/>
      <c r="G81" s="7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ht="36" outlineLevel="1">
      <c r="A82" s="38">
        <f>A80+1</f>
        <v>65</v>
      </c>
      <c r="B82" s="30" t="s">
        <v>265</v>
      </c>
      <c r="C82" s="29" t="s">
        <v>139</v>
      </c>
      <c r="D82" s="29">
        <v>16</v>
      </c>
      <c r="E82" s="30"/>
      <c r="F82" s="6"/>
      <c r="G82" s="7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ht="36" outlineLevel="1">
      <c r="A83" s="38">
        <f t="shared" ref="A83:A84" si="68">A82+1</f>
        <v>66</v>
      </c>
      <c r="B83" s="30" t="s">
        <v>140</v>
      </c>
      <c r="C83" s="29" t="s">
        <v>139</v>
      </c>
      <c r="D83" s="29">
        <v>12</v>
      </c>
      <c r="E83" s="30"/>
      <c r="F83" s="6"/>
      <c r="G83" s="7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ht="48" outlineLevel="1">
      <c r="A84" s="38">
        <f t="shared" si="68"/>
        <v>67</v>
      </c>
      <c r="B84" s="30" t="s">
        <v>266</v>
      </c>
      <c r="C84" s="29" t="s">
        <v>49</v>
      </c>
      <c r="D84" s="29">
        <v>4</v>
      </c>
      <c r="E84" s="30"/>
      <c r="F84" s="6"/>
      <c r="G84" s="7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>
      <c r="A85" s="28" t="s">
        <v>142</v>
      </c>
      <c r="B85" s="28"/>
      <c r="C85" s="28"/>
      <c r="D85" s="28"/>
      <c r="E85" s="28"/>
      <c r="F85" s="6"/>
      <c r="G85" s="7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>
      <c r="A86" s="28" t="s">
        <v>143</v>
      </c>
      <c r="B86" s="28"/>
      <c r="C86" s="28"/>
      <c r="D86" s="28"/>
      <c r="E86" s="28"/>
      <c r="F86" s="42"/>
      <c r="G86" s="7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ht="36" outlineLevel="1">
      <c r="A87" s="38">
        <f>A84+1</f>
        <v>68</v>
      </c>
      <c r="B87" s="30" t="s">
        <v>144</v>
      </c>
      <c r="C87" s="29" t="s">
        <v>145</v>
      </c>
      <c r="D87" s="44">
        <f>ROUND(1.02*PI()*0.2*D82,2)</f>
        <v>10.25</v>
      </c>
      <c r="E87" s="30"/>
      <c r="F87" s="35"/>
      <c r="G87" s="7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ht="96" outlineLevel="1">
      <c r="A88" s="38">
        <f t="shared" ref="A88:A93" si="69">A87+1</f>
        <v>69</v>
      </c>
      <c r="B88" s="30" t="s">
        <v>146</v>
      </c>
      <c r="C88" s="29" t="s">
        <v>147</v>
      </c>
      <c r="D88" s="31">
        <f>ROUND(1.02*PI()*(D75),1)-0.3</f>
        <v>276.19999999999999</v>
      </c>
      <c r="E88" s="30"/>
      <c r="F88" s="35"/>
      <c r="G88" s="7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ht="72" outlineLevel="1">
      <c r="A89" s="38">
        <f t="shared" si="69"/>
        <v>70</v>
      </c>
      <c r="B89" s="30" t="s">
        <v>267</v>
      </c>
      <c r="C89" s="29" t="s">
        <v>149</v>
      </c>
      <c r="D89" s="31">
        <f>ROUND((1.02+(0.1/1))*(0.1/1)*(D75)*PI(),1)</f>
        <v>30.400000000000002</v>
      </c>
      <c r="E89" s="30" t="s">
        <v>268</v>
      </c>
      <c r="F89" s="61">
        <f>(3.14*0.61*0.61*86.3)-(3.14*0.51*0.51*86.3)</f>
        <v>30.349983999999992</v>
      </c>
      <c r="G89" s="32"/>
      <c r="H89" s="32"/>
      <c r="I89" s="32"/>
      <c r="J89" s="32"/>
      <c r="K89" s="1"/>
      <c r="L89" s="1"/>
      <c r="M89" s="1"/>
      <c r="N89" s="1"/>
      <c r="O89" s="1"/>
      <c r="P89" s="1"/>
      <c r="Q89" s="1"/>
      <c r="R89" s="1"/>
      <c r="S89" s="1"/>
    </row>
    <row r="90" ht="60" outlineLevel="1">
      <c r="A90" s="38">
        <f t="shared" si="69"/>
        <v>71</v>
      </c>
      <c r="B90" s="30" t="s">
        <v>150</v>
      </c>
      <c r="C90" s="29" t="s">
        <v>151</v>
      </c>
      <c r="D90" s="31">
        <f>ROUND((1.02+(0.2/1))*PI()*(D75),1)</f>
        <v>330.80000000000001</v>
      </c>
      <c r="E90" s="30"/>
      <c r="F90" s="55"/>
      <c r="G90" s="55"/>
      <c r="H90" s="55"/>
      <c r="I90" s="55"/>
      <c r="J90" s="55"/>
      <c r="K90" s="1"/>
      <c r="L90" s="1"/>
      <c r="M90" s="1"/>
      <c r="N90" s="1"/>
      <c r="O90" s="1"/>
      <c r="P90" s="1"/>
      <c r="Q90" s="1"/>
      <c r="R90" s="1"/>
      <c r="S90" s="1"/>
    </row>
    <row r="91" ht="60" outlineLevel="1">
      <c r="A91" s="56">
        <f t="shared" si="69"/>
        <v>72</v>
      </c>
      <c r="B91" s="30" t="s">
        <v>152</v>
      </c>
      <c r="C91" s="29" t="str">
        <f>C90</f>
        <v xml:space="preserve">м2 поверхности покрытия изоляции</v>
      </c>
      <c r="D91" s="31">
        <f>ROUND((1.02+(0.2/1))*PI()*(D75),1)</f>
        <v>330.80000000000001</v>
      </c>
      <c r="E91" s="30"/>
      <c r="F91" s="55"/>
      <c r="G91" s="55"/>
      <c r="H91" s="55"/>
      <c r="I91" s="55"/>
      <c r="J91" s="55"/>
      <c r="K91" s="1"/>
      <c r="L91" s="1"/>
      <c r="M91" s="1"/>
      <c r="N91" s="1"/>
      <c r="O91" s="1"/>
      <c r="P91" s="1"/>
      <c r="Q91" s="1"/>
      <c r="R91" s="1"/>
      <c r="S91" s="1"/>
    </row>
    <row r="92" ht="84" outlineLevel="1">
      <c r="A92" s="38">
        <f t="shared" si="69"/>
        <v>73</v>
      </c>
      <c r="B92" s="30" t="s">
        <v>153</v>
      </c>
      <c r="C92" s="29" t="s">
        <v>31</v>
      </c>
      <c r="D92" s="31">
        <f>((((1.02+(0.2/1))*PI())+0.1)*((D75)*4+6*2))*0.02*6.2/1000</f>
        <v>0.17419220080604486</v>
      </c>
      <c r="E92" s="30"/>
      <c r="F92" s="55"/>
      <c r="G92" s="55"/>
      <c r="H92" s="55"/>
      <c r="I92" s="55"/>
      <c r="J92" s="55"/>
      <c r="K92" s="1"/>
      <c r="L92" s="1"/>
      <c r="M92" s="1"/>
      <c r="N92" s="1"/>
      <c r="O92" s="1"/>
      <c r="P92" s="1"/>
      <c r="Q92" s="1"/>
      <c r="R92" s="1"/>
      <c r="S92" s="1"/>
    </row>
    <row r="93" ht="24" outlineLevel="1">
      <c r="A93" s="38">
        <f t="shared" si="69"/>
        <v>74</v>
      </c>
      <c r="B93" s="30" t="s">
        <v>154</v>
      </c>
      <c r="C93" s="29" t="s">
        <v>31</v>
      </c>
      <c r="D93" s="31">
        <f>(((1.02+(0.02/1))*PI())+0.1)*(D75)*7*0.0312/1000</f>
        <v>0.063465778487746066</v>
      </c>
      <c r="E93" s="30"/>
      <c r="F93" s="55"/>
      <c r="G93" s="55"/>
      <c r="H93" s="55"/>
      <c r="I93" s="55"/>
      <c r="J93" s="55"/>
      <c r="K93" s="1"/>
      <c r="L93" s="1"/>
      <c r="M93" s="1"/>
      <c r="N93" s="1"/>
      <c r="O93" s="1"/>
      <c r="P93" s="1"/>
      <c r="Q93" s="1"/>
      <c r="R93" s="1"/>
      <c r="S93" s="1"/>
    </row>
    <row r="94">
      <c r="A94" s="28" t="s">
        <v>155</v>
      </c>
      <c r="B94" s="28"/>
      <c r="C94" s="28"/>
      <c r="D94" s="28"/>
      <c r="E94" s="28"/>
      <c r="F94" s="6"/>
      <c r="G94" s="7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>
      <c r="A95" s="28" t="s">
        <v>156</v>
      </c>
      <c r="B95" s="28"/>
      <c r="C95" s="28"/>
      <c r="D95" s="28"/>
      <c r="E95" s="28"/>
      <c r="F95" s="35"/>
      <c r="G95" s="7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ht="36" outlineLevel="1">
      <c r="A96" s="38">
        <f>A93+1</f>
        <v>75</v>
      </c>
      <c r="B96" s="30" t="s">
        <v>157</v>
      </c>
      <c r="C96" s="29" t="s">
        <v>158</v>
      </c>
      <c r="D96" s="31">
        <f>((H96-I96)+L9+M9)-((6*2*0.14)*H107)-(D105*0.37)</f>
        <v>1005.638815</v>
      </c>
      <c r="E96" s="30"/>
      <c r="F96" s="32"/>
      <c r="G96" s="60"/>
      <c r="H96" s="60">
        <f>(((((4.7+7.3)/2)*2.6)*26-(1.48*2*1.4*26))*0.97)</f>
        <v>288.92032</v>
      </c>
      <c r="I96" s="60">
        <f>(((((4.7+7.3)/2)*2.6)*26-(1.84*2*2.05*26))*0.97)</f>
        <v>203.17232000000004</v>
      </c>
      <c r="J96" s="60"/>
      <c r="K96" s="1"/>
      <c r="L96" s="1"/>
      <c r="M96" s="1"/>
      <c r="N96" s="1"/>
      <c r="O96" s="1"/>
      <c r="P96" s="1"/>
      <c r="Q96" s="1"/>
      <c r="R96" s="1"/>
      <c r="S96" s="1"/>
    </row>
    <row r="97" ht="24" outlineLevel="1">
      <c r="A97" s="38">
        <f t="shared" ref="A97:A99" si="70">A96+1</f>
        <v>76</v>
      </c>
      <c r="B97" s="30" t="s">
        <v>159</v>
      </c>
      <c r="C97" s="29" t="s">
        <v>158</v>
      </c>
      <c r="D97" s="31">
        <f>ROUND(D96*0.03/0.97,1)</f>
        <v>31.100000000000001</v>
      </c>
      <c r="E97" s="30"/>
      <c r="F97" s="35"/>
      <c r="G97" s="7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outlineLevel="1">
      <c r="A98" s="38">
        <f t="shared" si="70"/>
        <v>77</v>
      </c>
      <c r="B98" s="30" t="s">
        <v>160</v>
      </c>
      <c r="C98" s="29" t="s">
        <v>19</v>
      </c>
      <c r="D98" s="31">
        <f>D96</f>
        <v>1005.638815</v>
      </c>
      <c r="E98" s="30"/>
      <c r="F98" s="35"/>
      <c r="G98" s="7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ht="36" outlineLevel="1">
      <c r="A99" s="38">
        <f t="shared" si="70"/>
        <v>78</v>
      </c>
      <c r="B99" s="30" t="s">
        <v>161</v>
      </c>
      <c r="C99" s="29" t="s">
        <v>19</v>
      </c>
      <c r="D99" s="31">
        <f>D96</f>
        <v>1005.638815</v>
      </c>
      <c r="E99" s="30"/>
      <c r="F99" s="6"/>
      <c r="G99" s="7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outlineLevel="1">
      <c r="A100" s="28" t="s">
        <v>218</v>
      </c>
      <c r="B100" s="28"/>
      <c r="C100" s="28"/>
      <c r="D100" s="28"/>
      <c r="E100" s="28"/>
      <c r="F100" s="6"/>
      <c r="G100" s="7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ht="60" outlineLevel="1">
      <c r="A101" s="38">
        <f>A98+1</f>
        <v>78</v>
      </c>
      <c r="B101" s="128" t="s">
        <v>269</v>
      </c>
      <c r="C101" s="129" t="s">
        <v>166</v>
      </c>
      <c r="D101" s="31">
        <v>104</v>
      </c>
      <c r="E101" s="30"/>
      <c r="F101" s="6"/>
      <c r="G101" s="7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ht="84" outlineLevel="1">
      <c r="A102" s="38">
        <f>A101+1</f>
        <v>79</v>
      </c>
      <c r="B102" s="130" t="s">
        <v>270</v>
      </c>
      <c r="C102" s="58" t="s">
        <v>70</v>
      </c>
      <c r="D102" s="137">
        <f>D101*0.05*2.3</f>
        <v>11.959999999999999</v>
      </c>
      <c r="E102" s="30"/>
      <c r="F102" s="6"/>
      <c r="G102" s="7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>
      <c r="A103" s="28" t="s">
        <v>162</v>
      </c>
      <c r="B103" s="132"/>
      <c r="C103" s="132"/>
      <c r="D103" s="28"/>
      <c r="E103" s="28"/>
      <c r="F103" s="42"/>
      <c r="G103" s="7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ht="36" outlineLevel="1">
      <c r="A104" s="38">
        <f>A102+1</f>
        <v>80</v>
      </c>
      <c r="B104" s="30" t="s">
        <v>163</v>
      </c>
      <c r="C104" s="29" t="s">
        <v>164</v>
      </c>
      <c r="D104" s="44">
        <f>D105*0.25</f>
        <v>75</v>
      </c>
      <c r="E104" s="30" t="s">
        <v>214</v>
      </c>
      <c r="F104" s="42"/>
      <c r="G104" s="7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ht="60" outlineLevel="1">
      <c r="A105" s="38">
        <f t="shared" ref="A105:A112" si="71">A104+1</f>
        <v>81</v>
      </c>
      <c r="B105" s="30" t="s">
        <v>271</v>
      </c>
      <c r="C105" s="29" t="s">
        <v>166</v>
      </c>
      <c r="D105" s="31">
        <f>265+35</f>
        <v>300</v>
      </c>
      <c r="E105" s="30" t="s">
        <v>167</v>
      </c>
      <c r="F105" s="61"/>
      <c r="G105" s="62"/>
      <c r="H105" s="62"/>
      <c r="I105" s="62"/>
      <c r="J105" s="62"/>
      <c r="K105" s="1"/>
      <c r="L105" s="1"/>
      <c r="M105" s="1"/>
      <c r="N105" s="1"/>
      <c r="O105" s="1"/>
      <c r="P105" s="1"/>
      <c r="Q105" s="1"/>
      <c r="R105" s="1"/>
      <c r="S105" s="1"/>
    </row>
    <row r="106" ht="60" outlineLevel="1">
      <c r="A106" s="29">
        <f t="shared" si="71"/>
        <v>82</v>
      </c>
      <c r="B106" s="30" t="s">
        <v>272</v>
      </c>
      <c r="C106" s="29" t="s">
        <v>166</v>
      </c>
      <c r="D106" s="31">
        <f>D105+D101</f>
        <v>404</v>
      </c>
      <c r="E106" s="30" t="s">
        <v>169</v>
      </c>
      <c r="F106" s="61"/>
      <c r="G106" s="62"/>
      <c r="H106" s="62"/>
      <c r="I106" s="62"/>
      <c r="J106" s="62"/>
      <c r="K106" s="1"/>
      <c r="L106" s="1"/>
      <c r="M106" s="1"/>
      <c r="N106" s="1"/>
      <c r="O106" s="1"/>
      <c r="P106" s="1"/>
      <c r="Q106" s="1"/>
      <c r="R106" s="1"/>
      <c r="S106" s="1"/>
    </row>
    <row r="107" ht="24" outlineLevel="1">
      <c r="A107" s="29">
        <f t="shared" si="71"/>
        <v>83</v>
      </c>
      <c r="B107" s="30" t="s">
        <v>170</v>
      </c>
      <c r="C107" s="29" t="s">
        <v>19</v>
      </c>
      <c r="D107" s="44">
        <v>48.719999999999999</v>
      </c>
      <c r="E107" s="30" t="s">
        <v>221</v>
      </c>
      <c r="F107" s="61">
        <f>1.68*D107</f>
        <v>81.849599999999995</v>
      </c>
      <c r="G107" s="62">
        <f>D107*4.2</f>
        <v>204.624</v>
      </c>
      <c r="H107" s="62">
        <v>13</v>
      </c>
      <c r="I107" s="62" t="s">
        <v>222</v>
      </c>
      <c r="J107" s="62"/>
      <c r="K107" s="1"/>
      <c r="L107" s="1"/>
      <c r="M107" s="1"/>
      <c r="N107" s="1"/>
      <c r="O107" s="1"/>
      <c r="P107" s="1"/>
      <c r="Q107" s="1"/>
      <c r="R107" s="1"/>
      <c r="S107" s="1"/>
    </row>
    <row r="108" ht="24" outlineLevel="1">
      <c r="A108" s="29">
        <f t="shared" si="71"/>
        <v>84</v>
      </c>
      <c r="B108" s="30" t="s">
        <v>172</v>
      </c>
      <c r="C108" s="29" t="s">
        <v>19</v>
      </c>
      <c r="D108" s="44">
        <v>48.719999999999999</v>
      </c>
      <c r="E108" s="30" t="str">
        <f>E107</f>
        <v xml:space="preserve">Плита дорожная ПДН - 4,20тн; 1,68м3 (на 1 ед.) 48,72м3, 121,8тн
Сталь арматурная Ø12мм-АIII по ГОСТ 5781-82 - 0,14тн (на 1 ед.)</v>
      </c>
      <c r="F108" s="61"/>
      <c r="G108" s="62"/>
      <c r="H108" s="62"/>
      <c r="I108" s="62"/>
      <c r="J108" s="62"/>
      <c r="K108" s="1"/>
      <c r="L108" s="1"/>
      <c r="M108" s="1"/>
      <c r="N108" s="1"/>
      <c r="O108" s="1"/>
      <c r="P108" s="1"/>
      <c r="Q108" s="1"/>
      <c r="R108" s="1"/>
      <c r="S108" s="1"/>
    </row>
    <row r="109" outlineLevel="1">
      <c r="A109" s="29">
        <f t="shared" si="71"/>
        <v>85</v>
      </c>
      <c r="B109" s="30" t="s">
        <v>173</v>
      </c>
      <c r="C109" s="29" t="s">
        <v>57</v>
      </c>
      <c r="D109" s="31">
        <v>28</v>
      </c>
      <c r="E109" s="30" t="s">
        <v>174</v>
      </c>
      <c r="F109" s="61"/>
      <c r="G109" s="62"/>
      <c r="H109" s="62"/>
      <c r="I109" s="62"/>
      <c r="J109" s="62"/>
      <c r="K109" s="1"/>
      <c r="L109" s="1"/>
      <c r="M109" s="1"/>
      <c r="N109" s="1"/>
      <c r="O109" s="1"/>
      <c r="P109" s="1"/>
      <c r="Q109" s="1"/>
      <c r="R109" s="1"/>
      <c r="S109" s="1"/>
    </row>
    <row r="110" ht="25.5" outlineLevel="1">
      <c r="A110" s="29">
        <f t="shared" si="71"/>
        <v>86</v>
      </c>
      <c r="B110" s="30" t="s">
        <v>175</v>
      </c>
      <c r="C110" s="29" t="s">
        <v>57</v>
      </c>
      <c r="D110" s="31">
        <f>D109</f>
        <v>28</v>
      </c>
      <c r="E110" s="30" t="str">
        <f>E109</f>
        <v xml:space="preserve">1 секция забора - 0,064тн - 4м (всего 7 секций)</v>
      </c>
      <c r="F110" s="61"/>
      <c r="G110" s="62"/>
      <c r="H110" s="62"/>
      <c r="I110" s="62"/>
      <c r="J110" s="62"/>
      <c r="K110" s="1"/>
      <c r="L110" s="1"/>
      <c r="M110" s="1"/>
      <c r="N110" s="1"/>
      <c r="O110" s="1"/>
      <c r="P110" s="1"/>
      <c r="Q110" s="1"/>
      <c r="R110" s="1"/>
      <c r="S110" s="1"/>
    </row>
    <row r="111" ht="36" outlineLevel="1">
      <c r="A111" s="29">
        <f t="shared" si="71"/>
        <v>87</v>
      </c>
      <c r="B111" s="30" t="s">
        <v>273</v>
      </c>
      <c r="C111" s="29" t="s">
        <v>31</v>
      </c>
      <c r="D111" s="36">
        <v>0.44800000000000001</v>
      </c>
      <c r="E111" s="30"/>
      <c r="F111" s="61"/>
      <c r="G111" s="62"/>
      <c r="H111" s="62"/>
      <c r="I111" s="62"/>
      <c r="J111" s="62"/>
      <c r="K111" s="1"/>
      <c r="L111" s="1"/>
      <c r="M111" s="1"/>
      <c r="N111" s="1"/>
      <c r="O111" s="1"/>
      <c r="P111" s="1"/>
      <c r="Q111" s="1"/>
      <c r="R111" s="1"/>
      <c r="S111" s="1"/>
    </row>
    <row r="112" ht="24" outlineLevel="1">
      <c r="A112" s="29">
        <f t="shared" si="71"/>
        <v>88</v>
      </c>
      <c r="B112" s="30" t="s">
        <v>108</v>
      </c>
      <c r="C112" s="29" t="s">
        <v>19</v>
      </c>
      <c r="D112" s="44">
        <v>0.34000000000000002</v>
      </c>
      <c r="E112" s="30"/>
      <c r="F112" s="61"/>
      <c r="G112" s="62"/>
      <c r="H112" s="62"/>
      <c r="I112" s="62"/>
      <c r="J112" s="62"/>
      <c r="K112" s="1"/>
      <c r="L112" s="1"/>
      <c r="M112" s="1"/>
      <c r="N112" s="1"/>
      <c r="O112" s="1"/>
      <c r="P112" s="1"/>
      <c r="Q112" s="1"/>
      <c r="R112" s="1"/>
      <c r="S112" s="1"/>
    </row>
    <row r="113">
      <c r="A113" s="28" t="s">
        <v>177</v>
      </c>
      <c r="B113" s="28"/>
      <c r="C113" s="28"/>
      <c r="D113" s="28"/>
      <c r="E113" s="28"/>
      <c r="F113" s="6"/>
      <c r="G113" s="7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ht="36" outlineLevel="1">
      <c r="A114" s="29">
        <f>A112+1</f>
        <v>89</v>
      </c>
      <c r="B114" s="30" t="s">
        <v>178</v>
      </c>
      <c r="C114" s="29" t="s">
        <v>29</v>
      </c>
      <c r="D114" s="29">
        <v>173.25999999999999</v>
      </c>
      <c r="E114" s="30"/>
      <c r="F114" s="46"/>
      <c r="G114" s="55"/>
      <c r="H114" s="55"/>
      <c r="I114" s="55"/>
      <c r="J114" s="55"/>
      <c r="K114" s="1"/>
      <c r="L114" s="1"/>
      <c r="M114" s="1"/>
      <c r="N114" s="1"/>
      <c r="O114" s="1"/>
      <c r="P114" s="1"/>
      <c r="Q114" s="1"/>
      <c r="R114" s="1"/>
      <c r="S114" s="1"/>
    </row>
    <row r="115" ht="36" outlineLevel="1">
      <c r="A115" s="29">
        <f>A114+1</f>
        <v>90</v>
      </c>
      <c r="B115" s="30" t="s">
        <v>179</v>
      </c>
      <c r="C115" s="29" t="s">
        <v>29</v>
      </c>
      <c r="D115" s="29">
        <f>D114</f>
        <v>173.25999999999999</v>
      </c>
      <c r="E115" s="30"/>
      <c r="F115" s="55"/>
      <c r="G115" s="55"/>
      <c r="H115" s="55"/>
      <c r="I115" s="55"/>
      <c r="J115" s="55"/>
      <c r="K115" s="1"/>
      <c r="L115" s="1"/>
      <c r="M115" s="1"/>
      <c r="N115" s="1"/>
      <c r="O115" s="1"/>
      <c r="P115" s="1"/>
      <c r="Q115" s="1"/>
      <c r="R115" s="1"/>
      <c r="S115" s="1"/>
    </row>
    <row r="117" ht="121.5" customHeight="1">
      <c r="A117" s="15" t="s">
        <v>180</v>
      </c>
      <c r="B117" s="15"/>
      <c r="C117" s="15"/>
      <c r="D117" s="15"/>
      <c r="E117" s="15"/>
    </row>
    <row r="119">
      <c r="A119" s="106"/>
      <c r="B119" s="106"/>
      <c r="C119" s="106"/>
      <c r="D119" s="17"/>
      <c r="E119" s="124"/>
    </row>
    <row r="120">
      <c r="A120" s="125"/>
      <c r="B120" s="15"/>
      <c r="C120" s="17"/>
      <c r="D120" s="17"/>
      <c r="E120" s="124"/>
    </row>
    <row r="121" ht="15" customHeight="1">
      <c r="A121" s="66"/>
      <c r="B121" s="66"/>
      <c r="C121" s="66"/>
      <c r="D121" s="67"/>
      <c r="E121" s="66"/>
    </row>
    <row r="122" s="68" customFormat="1" ht="14.25">
      <c r="A122" s="67"/>
      <c r="B122" s="66"/>
      <c r="C122" s="66"/>
      <c r="D122" s="67"/>
      <c r="E122" s="66"/>
      <c r="F122" s="69"/>
      <c r="G122" s="70"/>
    </row>
    <row r="123" s="71" customFormat="1" ht="15" customHeight="1">
      <c r="A123" s="72"/>
      <c r="B123" s="73"/>
      <c r="C123" s="74"/>
      <c r="D123" s="74"/>
      <c r="E123" s="75"/>
      <c r="F123" s="76"/>
      <c r="G123" s="77"/>
    </row>
    <row r="124" s="78" customFormat="1" ht="14.25">
      <c r="A124" s="79"/>
      <c r="B124" s="79"/>
      <c r="C124" s="80"/>
      <c r="D124" s="81"/>
      <c r="E124" s="82"/>
      <c r="F124" s="83"/>
      <c r="G124" s="84"/>
    </row>
    <row r="125" s="78" customFormat="1" ht="14.25">
      <c r="A125" s="85"/>
      <c r="B125" s="86"/>
      <c r="C125" s="87"/>
      <c r="D125" s="87"/>
      <c r="E125" s="88"/>
      <c r="F125" s="83"/>
      <c r="G125" s="84"/>
    </row>
    <row r="126" ht="14.25">
      <c r="A126" s="89"/>
      <c r="B126" s="90"/>
      <c r="C126" s="91"/>
      <c r="D126" s="91"/>
      <c r="E126" s="92"/>
    </row>
    <row r="127">
      <c r="A127" s="93"/>
      <c r="B127" s="94"/>
      <c r="C127" s="94"/>
      <c r="D127" s="93"/>
      <c r="E127" s="95"/>
    </row>
    <row r="128">
      <c r="A128" s="94"/>
      <c r="B128" s="94"/>
      <c r="C128" s="94"/>
      <c r="D128" s="96"/>
      <c r="E128" s="95"/>
    </row>
  </sheetData>
  <mergeCells count="25">
    <mergeCell ref="A2:E2"/>
    <mergeCell ref="A4:E4"/>
    <mergeCell ref="A5:E5"/>
    <mergeCell ref="A8:E8"/>
    <mergeCell ref="A19:E19"/>
    <mergeCell ref="A20:E20"/>
    <mergeCell ref="A24:E24"/>
    <mergeCell ref="A32:E32"/>
    <mergeCell ref="A54:E54"/>
    <mergeCell ref="A60:E60"/>
    <mergeCell ref="A67:E67"/>
    <mergeCell ref="A74:E74"/>
    <mergeCell ref="A81:E81"/>
    <mergeCell ref="A85:E85"/>
    <mergeCell ref="A86:E86"/>
    <mergeCell ref="A94:E94"/>
    <mergeCell ref="A95:E95"/>
    <mergeCell ref="A100:E100"/>
    <mergeCell ref="A103:E103"/>
    <mergeCell ref="A113:E113"/>
    <mergeCell ref="A117:E117"/>
    <mergeCell ref="A119:C119"/>
    <mergeCell ref="A121:C121"/>
    <mergeCell ref="A124:B124"/>
    <mergeCell ref="A128:C128"/>
  </mergeCells>
  <printOptions headings="0" gridLines="0"/>
  <pageMargins left="0.51000000000000023" right="0.39370078740157477" top="0.3600000000000001" bottom="0.46000000000000008" header="0" footer="0.19685039370078738"/>
  <pageSetup paperSize="9" scale="69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&amp;R&amp;"Times New Roman,Regular "Страница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>Grand Ltd.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Пшичко</dc:creator>
  <cp:lastModifiedBy>dolzhenko_ms</cp:lastModifiedBy>
  <cp:revision>53</cp:revision>
  <dcterms:created xsi:type="dcterms:W3CDTF">2002-02-11T05:58:42Z</dcterms:created>
  <dcterms:modified xsi:type="dcterms:W3CDTF">2026-02-10T03:35:15Z</dcterms:modified>
</cp:coreProperties>
</file>